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2\"/>
    </mc:Choice>
  </mc:AlternateContent>
  <xr:revisionPtr revIDLastSave="0" documentId="8_{A7CE40D3-AC9F-44B4-9624-095217B8908C}" xr6:coauthVersionLast="47" xr6:coauthVersionMax="47" xr10:uidLastSave="{00000000-0000-0000-0000-000000000000}"/>
  <bookViews>
    <workbookView xWindow="-108" yWindow="-108" windowWidth="30936" windowHeight="16896" tabRatio="598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Table'!$A$1:$CJ$860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93" i="3" l="1"/>
  <c r="AE793" i="3"/>
  <c r="AF777" i="3"/>
  <c r="AE777" i="3"/>
  <c r="U809" i="3" l="1"/>
  <c r="U810" i="3" s="1"/>
  <c r="U808" i="3"/>
  <c r="BO859" i="1"/>
  <c r="BK859" i="1"/>
  <c r="BC859" i="1"/>
  <c r="AY859" i="1"/>
  <c r="AU859" i="1"/>
  <c r="AQ859" i="1"/>
  <c r="AM859" i="1"/>
  <c r="AI859" i="1"/>
  <c r="K859" i="1"/>
  <c r="BP858" i="1"/>
  <c r="BP859" i="1" s="1"/>
  <c r="BO858" i="1"/>
  <c r="BM858" i="1"/>
  <c r="BM859" i="1" s="1"/>
  <c r="BL858" i="1"/>
  <c r="BL859" i="1" s="1"/>
  <c r="BK858" i="1"/>
  <c r="BJ858" i="1"/>
  <c r="BJ859" i="1" s="1"/>
  <c r="BI858" i="1"/>
  <c r="BI859" i="1" s="1"/>
  <c r="BH858" i="1"/>
  <c r="BH859" i="1" s="1"/>
  <c r="BF858" i="1"/>
  <c r="BF859" i="1" s="1"/>
  <c r="BD858" i="1"/>
  <c r="BD859" i="1" s="1"/>
  <c r="BC858" i="1"/>
  <c r="BB858" i="1"/>
  <c r="BB859" i="1" s="1"/>
  <c r="AZ858" i="1"/>
  <c r="AZ859" i="1" s="1"/>
  <c r="AY858" i="1"/>
  <c r="AW858" i="1"/>
  <c r="AW859" i="1" s="1"/>
  <c r="AU858" i="1"/>
  <c r="AT858" i="1"/>
  <c r="AT859" i="1" s="1"/>
  <c r="AS858" i="1"/>
  <c r="AS859" i="1" s="1"/>
  <c r="AQ858" i="1"/>
  <c r="AP858" i="1"/>
  <c r="AP859" i="1" s="1"/>
  <c r="AO858" i="1"/>
  <c r="AO859" i="1" s="1"/>
  <c r="AN858" i="1"/>
  <c r="AN859" i="1" s="1"/>
  <c r="AM858" i="1"/>
  <c r="AK858" i="1"/>
  <c r="AK859" i="1" s="1"/>
  <c r="AJ858" i="1"/>
  <c r="AJ859" i="1" s="1"/>
  <c r="AI858" i="1"/>
  <c r="AH858" i="1"/>
  <c r="AH859" i="1" s="1"/>
  <c r="AG858" i="1"/>
  <c r="AG859" i="1" s="1"/>
  <c r="AF858" i="1"/>
  <c r="AF859" i="1" s="1"/>
  <c r="AD858" i="1"/>
  <c r="AD859" i="1" s="1"/>
  <c r="AB858" i="1"/>
  <c r="AB859" i="1" s="1"/>
  <c r="AA858" i="1"/>
  <c r="AA859" i="1" s="1"/>
  <c r="Y858" i="1"/>
  <c r="Y859" i="1" s="1"/>
  <c r="X858" i="1"/>
  <c r="X859" i="1" s="1"/>
  <c r="W858" i="1"/>
  <c r="W859" i="1" s="1"/>
  <c r="V858" i="1"/>
  <c r="V859" i="1" s="1"/>
  <c r="U858" i="1"/>
  <c r="U859" i="1" s="1"/>
  <c r="T858" i="1"/>
  <c r="T859" i="1" s="1"/>
  <c r="R858" i="1"/>
  <c r="R859" i="1" s="1"/>
  <c r="P858" i="1"/>
  <c r="P859" i="1" s="1"/>
  <c r="M858" i="1"/>
  <c r="M859" i="1" s="1"/>
  <c r="L858" i="1"/>
  <c r="L859" i="1" s="1"/>
  <c r="K858" i="1"/>
  <c r="J858" i="1"/>
  <c r="J859" i="1" s="1"/>
  <c r="I858" i="1"/>
  <c r="I859" i="1" s="1"/>
  <c r="D859" i="1"/>
  <c r="D858" i="1"/>
  <c r="BW852" i="1"/>
  <c r="BP852" i="1"/>
  <c r="BR852" i="1" s="1"/>
  <c r="BE852" i="1"/>
  <c r="BG852" i="1" s="1"/>
  <c r="BG858" i="1" s="1"/>
  <c r="BG859" i="1" s="1"/>
  <c r="BA852" i="1"/>
  <c r="BA858" i="1" s="1"/>
  <c r="BA859" i="1" s="1"/>
  <c r="AL852" i="1"/>
  <c r="AR852" i="1" s="1"/>
  <c r="AR858" i="1" s="1"/>
  <c r="AR859" i="1" s="1"/>
  <c r="AA852" i="1"/>
  <c r="AE852" i="1" s="1"/>
  <c r="AE858" i="1" s="1"/>
  <c r="AE859" i="1" s="1"/>
  <c r="Z852" i="1"/>
  <c r="Z858" i="1" s="1"/>
  <c r="Z859" i="1" s="1"/>
  <c r="V852" i="1"/>
  <c r="S852" i="1"/>
  <c r="S858" i="1" s="1"/>
  <c r="S859" i="1" s="1"/>
  <c r="Q852" i="1"/>
  <c r="Q858" i="1" s="1"/>
  <c r="Q859" i="1" s="1"/>
  <c r="N852" i="1"/>
  <c r="N858" i="1" s="1"/>
  <c r="N859" i="1" s="1"/>
  <c r="J852" i="1"/>
  <c r="H852" i="1"/>
  <c r="AV852" i="1" s="1"/>
  <c r="AV858" i="1" s="1"/>
  <c r="AV859" i="1" s="1"/>
  <c r="I20" i="3"/>
  <c r="BW851" i="1"/>
  <c r="BN851" i="1" s="1"/>
  <c r="BE851" i="1"/>
  <c r="BP851" i="1" s="1"/>
  <c r="BR851" i="1" s="1"/>
  <c r="BA851" i="1"/>
  <c r="AX851" i="1"/>
  <c r="AL851" i="1"/>
  <c r="AR851" i="1" s="1"/>
  <c r="AA851" i="1"/>
  <c r="AE851" i="1" s="1"/>
  <c r="Z851" i="1"/>
  <c r="V851" i="1"/>
  <c r="Q851" i="1"/>
  <c r="S851" i="1" s="1"/>
  <c r="N851" i="1"/>
  <c r="J851" i="1"/>
  <c r="H851" i="1"/>
  <c r="AV851" i="1" s="1"/>
  <c r="BW850" i="1"/>
  <c r="BN850" i="1"/>
  <c r="BE850" i="1"/>
  <c r="BP850" i="1" s="1"/>
  <c r="BR850" i="1" s="1"/>
  <c r="BA850" i="1"/>
  <c r="AX850" i="1"/>
  <c r="AL850" i="1"/>
  <c r="AR850" i="1" s="1"/>
  <c r="AA850" i="1"/>
  <c r="AE850" i="1" s="1"/>
  <c r="Z850" i="1"/>
  <c r="V850" i="1"/>
  <c r="Q850" i="1"/>
  <c r="S850" i="1" s="1"/>
  <c r="N850" i="1"/>
  <c r="J850" i="1"/>
  <c r="H850" i="1"/>
  <c r="AV850" i="1" s="1"/>
  <c r="B850" i="1"/>
  <c r="B851" i="1" s="1"/>
  <c r="B852" i="1" s="1"/>
  <c r="B853" i="1" s="1"/>
  <c r="BE849" i="1"/>
  <c r="BA849" i="1"/>
  <c r="AL849" i="1"/>
  <c r="Z849" i="1"/>
  <c r="Q849" i="1"/>
  <c r="S849" i="1" s="1"/>
  <c r="N849" i="1"/>
  <c r="BE848" i="1"/>
  <c r="BA848" i="1"/>
  <c r="AL848" i="1"/>
  <c r="AR848" i="1" s="1"/>
  <c r="Z848" i="1"/>
  <c r="Q848" i="1"/>
  <c r="S848" i="1" s="1"/>
  <c r="N848" i="1"/>
  <c r="BE847" i="1"/>
  <c r="BA847" i="1"/>
  <c r="AL847" i="1"/>
  <c r="AR847" i="1" s="1"/>
  <c r="Z847" i="1"/>
  <c r="Q847" i="1"/>
  <c r="S847" i="1" s="1"/>
  <c r="N847" i="1"/>
  <c r="BE846" i="1"/>
  <c r="BA846" i="1"/>
  <c r="AL846" i="1"/>
  <c r="AR846" i="1" s="1"/>
  <c r="Z846" i="1"/>
  <c r="Q846" i="1"/>
  <c r="S846" i="1" s="1"/>
  <c r="N846" i="1"/>
  <c r="BE845" i="1"/>
  <c r="BA845" i="1"/>
  <c r="AL845" i="1"/>
  <c r="Z845" i="1"/>
  <c r="Q845" i="1"/>
  <c r="N845" i="1"/>
  <c r="BE844" i="1"/>
  <c r="BA844" i="1"/>
  <c r="AL844" i="1"/>
  <c r="AR844" i="1" s="1"/>
  <c r="Z844" i="1"/>
  <c r="Q844" i="1"/>
  <c r="N844" i="1"/>
  <c r="BE843" i="1"/>
  <c r="BA843" i="1"/>
  <c r="AL843" i="1"/>
  <c r="AR843" i="1" s="1"/>
  <c r="Z843" i="1"/>
  <c r="Q843" i="1"/>
  <c r="N843" i="1"/>
  <c r="BE842" i="1"/>
  <c r="BA842" i="1"/>
  <c r="AL842" i="1"/>
  <c r="AR842" i="1" s="1"/>
  <c r="Z842" i="1"/>
  <c r="Q842" i="1"/>
  <c r="N842" i="1"/>
  <c r="BE841" i="1"/>
  <c r="BA841" i="1"/>
  <c r="AL841" i="1"/>
  <c r="AR841" i="1" s="1"/>
  <c r="Z841" i="1"/>
  <c r="Q841" i="1"/>
  <c r="N841" i="1"/>
  <c r="BE840" i="1"/>
  <c r="BA840" i="1"/>
  <c r="AL840" i="1"/>
  <c r="AR840" i="1" s="1"/>
  <c r="Z840" i="1"/>
  <c r="Q840" i="1"/>
  <c r="N840" i="1"/>
  <c r="BE839" i="1"/>
  <c r="BA839" i="1"/>
  <c r="AL839" i="1"/>
  <c r="AR839" i="1" s="1"/>
  <c r="Z839" i="1"/>
  <c r="Q839" i="1"/>
  <c r="N839" i="1"/>
  <c r="U858" i="2"/>
  <c r="T858" i="2"/>
  <c r="S858" i="2"/>
  <c r="R858" i="2"/>
  <c r="Q858" i="2"/>
  <c r="P858" i="2"/>
  <c r="N858" i="2"/>
  <c r="M858" i="2"/>
  <c r="L858" i="2"/>
  <c r="K858" i="2"/>
  <c r="J858" i="2"/>
  <c r="I858" i="2"/>
  <c r="G858" i="2"/>
  <c r="E858" i="2"/>
  <c r="S853" i="2"/>
  <c r="W853" i="2"/>
  <c r="K853" i="2"/>
  <c r="Q853" i="2" s="1"/>
  <c r="S852" i="2"/>
  <c r="W852" i="2"/>
  <c r="K852" i="2"/>
  <c r="M852" i="2" s="1"/>
  <c r="S851" i="2"/>
  <c r="W851" i="2"/>
  <c r="K851" i="2"/>
  <c r="Q851" i="2" s="1"/>
  <c r="S850" i="2"/>
  <c r="W850" i="2"/>
  <c r="K850" i="2"/>
  <c r="C850" i="2"/>
  <c r="C851" i="2" s="1"/>
  <c r="C852" i="2" s="1"/>
  <c r="C853" i="2" s="1"/>
  <c r="C854" i="2" s="1"/>
  <c r="C855" i="2" s="1"/>
  <c r="S849" i="2"/>
  <c r="K849" i="2"/>
  <c r="Q849" i="2" s="1"/>
  <c r="S848" i="2"/>
  <c r="K848" i="2"/>
  <c r="S847" i="2"/>
  <c r="K847" i="2"/>
  <c r="M847" i="2" s="1"/>
  <c r="S846" i="2"/>
  <c r="K846" i="2"/>
  <c r="S845" i="2"/>
  <c r="K845" i="2"/>
  <c r="S844" i="2"/>
  <c r="K844" i="2"/>
  <c r="Q844" i="2" s="1"/>
  <c r="S843" i="2"/>
  <c r="K843" i="2"/>
  <c r="S842" i="2"/>
  <c r="K842" i="2"/>
  <c r="S841" i="2"/>
  <c r="K841" i="2"/>
  <c r="S840" i="2"/>
  <c r="K840" i="2"/>
  <c r="BE838" i="1"/>
  <c r="BA838" i="1"/>
  <c r="AL838" i="1"/>
  <c r="AR838" i="1" s="1"/>
  <c r="Z838" i="1"/>
  <c r="Q838" i="1"/>
  <c r="N838" i="1"/>
  <c r="BE837" i="1"/>
  <c r="BA837" i="1"/>
  <c r="AL837" i="1"/>
  <c r="AR837" i="1" s="1"/>
  <c r="Z837" i="1"/>
  <c r="Q837" i="1"/>
  <c r="N837" i="1"/>
  <c r="BE836" i="1"/>
  <c r="BA836" i="1"/>
  <c r="AL836" i="1"/>
  <c r="Z836" i="1"/>
  <c r="Q836" i="1"/>
  <c r="N836" i="1"/>
  <c r="BE835" i="1"/>
  <c r="BA835" i="1"/>
  <c r="AL835" i="1"/>
  <c r="AR835" i="1" s="1"/>
  <c r="Z835" i="1"/>
  <c r="Q835" i="1"/>
  <c r="N835" i="1"/>
  <c r="BE834" i="1"/>
  <c r="BA834" i="1"/>
  <c r="AL834" i="1"/>
  <c r="Z834" i="1"/>
  <c r="Q834" i="1"/>
  <c r="N834" i="1"/>
  <c r="BE833" i="1"/>
  <c r="BA833" i="1"/>
  <c r="AL833" i="1"/>
  <c r="AR833" i="1" s="1"/>
  <c r="Z833" i="1"/>
  <c r="Q833" i="1"/>
  <c r="N833" i="1"/>
  <c r="BE832" i="1"/>
  <c r="BA832" i="1"/>
  <c r="AL832" i="1"/>
  <c r="AR832" i="1" s="1"/>
  <c r="Z832" i="1"/>
  <c r="Q832" i="1"/>
  <c r="N832" i="1"/>
  <c r="H858" i="2"/>
  <c r="S839" i="2"/>
  <c r="K839" i="2"/>
  <c r="S838" i="2"/>
  <c r="K838" i="2"/>
  <c r="S837" i="2"/>
  <c r="K837" i="2"/>
  <c r="Q837" i="2" s="1"/>
  <c r="S836" i="2"/>
  <c r="K836" i="2"/>
  <c r="S835" i="2"/>
  <c r="K835" i="2"/>
  <c r="S834" i="2"/>
  <c r="K834" i="2"/>
  <c r="S833" i="2"/>
  <c r="K833" i="2"/>
  <c r="Q833" i="2" s="1"/>
  <c r="BE831" i="1"/>
  <c r="BA831" i="1"/>
  <c r="AL831" i="1"/>
  <c r="AR831" i="1" s="1"/>
  <c r="Z831" i="1"/>
  <c r="Q831" i="1"/>
  <c r="N831" i="1"/>
  <c r="BE830" i="1"/>
  <c r="BA830" i="1"/>
  <c r="AL830" i="1"/>
  <c r="AR830" i="1" s="1"/>
  <c r="Z830" i="1"/>
  <c r="Q830" i="1"/>
  <c r="N830" i="1"/>
  <c r="BE829" i="1"/>
  <c r="BA829" i="1"/>
  <c r="AL829" i="1"/>
  <c r="AR829" i="1" s="1"/>
  <c r="Z829" i="1"/>
  <c r="Q829" i="1"/>
  <c r="N829" i="1"/>
  <c r="BE828" i="1"/>
  <c r="BA828" i="1"/>
  <c r="AL828" i="1"/>
  <c r="AR828" i="1" s="1"/>
  <c r="Z828" i="1"/>
  <c r="Q828" i="1"/>
  <c r="N828" i="1"/>
  <c r="BE827" i="1"/>
  <c r="BA827" i="1"/>
  <c r="AL827" i="1"/>
  <c r="AR827" i="1" s="1"/>
  <c r="Z827" i="1"/>
  <c r="Q827" i="1"/>
  <c r="N827" i="1"/>
  <c r="BE826" i="1"/>
  <c r="BA826" i="1"/>
  <c r="AL826" i="1"/>
  <c r="AR826" i="1" s="1"/>
  <c r="Z826" i="1"/>
  <c r="Q826" i="1"/>
  <c r="N826" i="1"/>
  <c r="BE825" i="1"/>
  <c r="BA825" i="1"/>
  <c r="AL825" i="1"/>
  <c r="AR825" i="1" s="1"/>
  <c r="Z825" i="1"/>
  <c r="Q825" i="1"/>
  <c r="N825" i="1"/>
  <c r="S832" i="2"/>
  <c r="K832" i="2"/>
  <c r="S831" i="2"/>
  <c r="K831" i="2"/>
  <c r="S829" i="2"/>
  <c r="S830" i="2"/>
  <c r="K830" i="2"/>
  <c r="K829" i="2"/>
  <c r="S828" i="2"/>
  <c r="K828" i="2"/>
  <c r="S827" i="2"/>
  <c r="K827" i="2"/>
  <c r="S826" i="2"/>
  <c r="K826" i="2"/>
  <c r="BE824" i="1"/>
  <c r="BA824" i="1"/>
  <c r="AL824" i="1"/>
  <c r="AR824" i="1" s="1"/>
  <c r="Z824" i="1"/>
  <c r="Q824" i="1"/>
  <c r="N824" i="1"/>
  <c r="BE823" i="1"/>
  <c r="BA823" i="1"/>
  <c r="AR823" i="1"/>
  <c r="AL823" i="1"/>
  <c r="Z823" i="1"/>
  <c r="Q823" i="1"/>
  <c r="N823" i="1"/>
  <c r="BE822" i="1"/>
  <c r="BA822" i="1"/>
  <c r="AL822" i="1"/>
  <c r="AR822" i="1" s="1"/>
  <c r="Z822" i="1"/>
  <c r="Q822" i="1"/>
  <c r="N822" i="1"/>
  <c r="AA776" i="3"/>
  <c r="BE821" i="1"/>
  <c r="BA821" i="1"/>
  <c r="AL821" i="1"/>
  <c r="Z821" i="1"/>
  <c r="Q821" i="1"/>
  <c r="N821" i="1"/>
  <c r="BE820" i="1"/>
  <c r="BA820" i="1"/>
  <c r="AL820" i="1"/>
  <c r="AR820" i="1" s="1"/>
  <c r="Z820" i="1"/>
  <c r="Q820" i="1"/>
  <c r="N820" i="1"/>
  <c r="BE819" i="1"/>
  <c r="BA819" i="1"/>
  <c r="AL819" i="1"/>
  <c r="AR819" i="1" s="1"/>
  <c r="Z819" i="1"/>
  <c r="Q819" i="1"/>
  <c r="N819" i="1"/>
  <c r="BE818" i="1"/>
  <c r="BA818" i="1"/>
  <c r="AL818" i="1"/>
  <c r="Z818" i="1"/>
  <c r="Q818" i="1"/>
  <c r="N818" i="1"/>
  <c r="BE817" i="1"/>
  <c r="BA817" i="1"/>
  <c r="AL817" i="1"/>
  <c r="AR817" i="1" s="1"/>
  <c r="Z817" i="1"/>
  <c r="Q817" i="1"/>
  <c r="N817" i="1"/>
  <c r="BE816" i="1"/>
  <c r="BA816" i="1"/>
  <c r="AL816" i="1"/>
  <c r="AR816" i="1" s="1"/>
  <c r="Z816" i="1"/>
  <c r="Q816" i="1"/>
  <c r="N816" i="1"/>
  <c r="BE815" i="1"/>
  <c r="BA815" i="1"/>
  <c r="AL815" i="1"/>
  <c r="AR815" i="1" s="1"/>
  <c r="Z815" i="1"/>
  <c r="Q815" i="1"/>
  <c r="N815" i="1"/>
  <c r="BE814" i="1"/>
  <c r="BA814" i="1"/>
  <c r="AL814" i="1"/>
  <c r="AR814" i="1" s="1"/>
  <c r="Z814" i="1"/>
  <c r="Q814" i="1"/>
  <c r="N814" i="1"/>
  <c r="BE813" i="1"/>
  <c r="BA813" i="1"/>
  <c r="AL813" i="1"/>
  <c r="AR813" i="1" s="1"/>
  <c r="Z813" i="1"/>
  <c r="Q813" i="1"/>
  <c r="N813" i="1"/>
  <c r="BE812" i="1"/>
  <c r="BA812" i="1"/>
  <c r="AL812" i="1"/>
  <c r="AR812" i="1" s="1"/>
  <c r="Z812" i="1"/>
  <c r="Q812" i="1"/>
  <c r="N812" i="1"/>
  <c r="BE811" i="1"/>
  <c r="BA811" i="1"/>
  <c r="AL811" i="1"/>
  <c r="AR811" i="1" s="1"/>
  <c r="Z811" i="1"/>
  <c r="Q811" i="1"/>
  <c r="N811" i="1"/>
  <c r="BE810" i="1"/>
  <c r="BA810" i="1"/>
  <c r="AL810" i="1"/>
  <c r="AR810" i="1" s="1"/>
  <c r="Z810" i="1"/>
  <c r="Q810" i="1"/>
  <c r="N810" i="1"/>
  <c r="BE809" i="1"/>
  <c r="BA809" i="1"/>
  <c r="AL809" i="1"/>
  <c r="AR809" i="1" s="1"/>
  <c r="Z809" i="1"/>
  <c r="Q809" i="1"/>
  <c r="N809" i="1"/>
  <c r="BE808" i="1"/>
  <c r="BA808" i="1"/>
  <c r="AL808" i="1"/>
  <c r="AR808" i="1" s="1"/>
  <c r="Z808" i="1"/>
  <c r="Q808" i="1"/>
  <c r="N808" i="1"/>
  <c r="BE807" i="1"/>
  <c r="BA807" i="1"/>
  <c r="AL807" i="1"/>
  <c r="AR807" i="1" s="1"/>
  <c r="Z807" i="1"/>
  <c r="Q807" i="1"/>
  <c r="N807" i="1"/>
  <c r="BE806" i="1"/>
  <c r="BA806" i="1"/>
  <c r="AL806" i="1"/>
  <c r="AR806" i="1" s="1"/>
  <c r="Z806" i="1"/>
  <c r="Q806" i="1"/>
  <c r="N806" i="1"/>
  <c r="BE805" i="1"/>
  <c r="BA805" i="1"/>
  <c r="AL805" i="1"/>
  <c r="AR805" i="1" s="1"/>
  <c r="Z805" i="1"/>
  <c r="Q805" i="1"/>
  <c r="N805" i="1"/>
  <c r="BE804" i="1"/>
  <c r="BA804" i="1"/>
  <c r="AL804" i="1"/>
  <c r="AR804" i="1" s="1"/>
  <c r="Z804" i="1"/>
  <c r="Q804" i="1"/>
  <c r="N804" i="1"/>
  <c r="S825" i="2"/>
  <c r="K825" i="2"/>
  <c r="S824" i="2"/>
  <c r="K824" i="2"/>
  <c r="S823" i="2"/>
  <c r="K823" i="2"/>
  <c r="S822" i="2"/>
  <c r="K822" i="2"/>
  <c r="S821" i="2"/>
  <c r="K821" i="2"/>
  <c r="S820" i="2"/>
  <c r="K820" i="2"/>
  <c r="S819" i="2"/>
  <c r="K819" i="2"/>
  <c r="S818" i="2"/>
  <c r="K818" i="2"/>
  <c r="S817" i="2"/>
  <c r="K817" i="2"/>
  <c r="S816" i="2"/>
  <c r="K816" i="2"/>
  <c r="S815" i="2"/>
  <c r="K815" i="2"/>
  <c r="S814" i="2"/>
  <c r="K814" i="2"/>
  <c r="S813" i="2"/>
  <c r="K813" i="2"/>
  <c r="S812" i="2"/>
  <c r="K812" i="2"/>
  <c r="S811" i="2"/>
  <c r="K811" i="2"/>
  <c r="S810" i="2"/>
  <c r="K810" i="2"/>
  <c r="S809" i="2"/>
  <c r="K809" i="2"/>
  <c r="S808" i="2"/>
  <c r="K808" i="2"/>
  <c r="S807" i="2"/>
  <c r="K807" i="2"/>
  <c r="S806" i="2"/>
  <c r="K806" i="2"/>
  <c r="S805" i="2"/>
  <c r="K805" i="2"/>
  <c r="AL858" i="1" l="1"/>
  <c r="AL859" i="1" s="1"/>
  <c r="O852" i="1"/>
  <c r="O858" i="1" s="1"/>
  <c r="O859" i="1" s="1"/>
  <c r="H858" i="1"/>
  <c r="H859" i="1" s="1"/>
  <c r="BE858" i="1"/>
  <c r="BE859" i="1" s="1"/>
  <c r="AX852" i="1"/>
  <c r="AX858" i="1" s="1"/>
  <c r="AX859" i="1" s="1"/>
  <c r="AC852" i="1"/>
  <c r="AC858" i="1" s="1"/>
  <c r="AC859" i="1" s="1"/>
  <c r="BN852" i="1"/>
  <c r="BN858" i="1" s="1"/>
  <c r="BN859" i="1" s="1"/>
  <c r="AC851" i="1"/>
  <c r="BG851" i="1"/>
  <c r="O851" i="1"/>
  <c r="AC850" i="1"/>
  <c r="BG850" i="1"/>
  <c r="O850" i="1"/>
  <c r="AR849" i="1"/>
  <c r="BG849" i="1"/>
  <c r="BG848" i="1"/>
  <c r="BG847" i="1"/>
  <c r="S839" i="1"/>
  <c r="S845" i="1"/>
  <c r="S844" i="1"/>
  <c r="BG836" i="1"/>
  <c r="BG846" i="1"/>
  <c r="AR845" i="1"/>
  <c r="BG845" i="1"/>
  <c r="BG844" i="1"/>
  <c r="S842" i="1"/>
  <c r="S833" i="1"/>
  <c r="S825" i="1"/>
  <c r="S841" i="1"/>
  <c r="S820" i="1"/>
  <c r="S828" i="1"/>
  <c r="S840" i="1"/>
  <c r="S843" i="1"/>
  <c r="S815" i="1"/>
  <c r="BG843" i="1"/>
  <c r="BG842" i="1"/>
  <c r="BG841" i="1"/>
  <c r="BG840" i="1"/>
  <c r="BG839" i="1"/>
  <c r="S835" i="1"/>
  <c r="BG835" i="1"/>
  <c r="S838" i="1"/>
  <c r="BG838" i="1"/>
  <c r="S827" i="1"/>
  <c r="S832" i="1"/>
  <c r="S837" i="1"/>
  <c r="S834" i="1"/>
  <c r="BG831" i="1"/>
  <c r="M853" i="2"/>
  <c r="Q852" i="2"/>
  <c r="M851" i="2"/>
  <c r="Q850" i="2"/>
  <c r="M850" i="2"/>
  <c r="Q841" i="2"/>
  <c r="Q848" i="2"/>
  <c r="M846" i="2"/>
  <c r="M849" i="2"/>
  <c r="M848" i="2"/>
  <c r="Q847" i="2"/>
  <c r="Q846" i="2"/>
  <c r="M837" i="2"/>
  <c r="M842" i="2"/>
  <c r="Q838" i="2"/>
  <c r="M845" i="2"/>
  <c r="Q835" i="2"/>
  <c r="Q840" i="2"/>
  <c r="Q845" i="2"/>
  <c r="Q825" i="2"/>
  <c r="Q843" i="2"/>
  <c r="M844" i="2"/>
  <c r="M843" i="2"/>
  <c r="Q842" i="2"/>
  <c r="M841" i="2"/>
  <c r="M840" i="2"/>
  <c r="M831" i="2"/>
  <c r="Q836" i="2"/>
  <c r="Q834" i="2"/>
  <c r="Q839" i="2"/>
  <c r="BG837" i="1"/>
  <c r="AR836" i="1"/>
  <c r="S836" i="1"/>
  <c r="AR834" i="1"/>
  <c r="BG834" i="1"/>
  <c r="BG833" i="1"/>
  <c r="BG832" i="1"/>
  <c r="S824" i="1"/>
  <c r="S830" i="1"/>
  <c r="S831" i="1"/>
  <c r="S829" i="1"/>
  <c r="S826" i="1"/>
  <c r="BG828" i="1"/>
  <c r="M839" i="2"/>
  <c r="M838" i="2"/>
  <c r="M836" i="2"/>
  <c r="M835" i="2"/>
  <c r="M834" i="2"/>
  <c r="M833" i="2"/>
  <c r="Q827" i="2"/>
  <c r="Q824" i="2"/>
  <c r="M829" i="2"/>
  <c r="Q830" i="2"/>
  <c r="Q832" i="2"/>
  <c r="Q823" i="2"/>
  <c r="Q828" i="2"/>
  <c r="Q829" i="2"/>
  <c r="M830" i="2"/>
  <c r="Q826" i="2"/>
  <c r="M826" i="2"/>
  <c r="Q831" i="2"/>
  <c r="BG830" i="1"/>
  <c r="BG829" i="1"/>
  <c r="BG827" i="1"/>
  <c r="BG826" i="1"/>
  <c r="BG825" i="1"/>
  <c r="S823" i="1"/>
  <c r="S822" i="1"/>
  <c r="M832" i="2"/>
  <c r="M828" i="2"/>
  <c r="M827" i="2"/>
  <c r="Q808" i="2"/>
  <c r="Q820" i="2"/>
  <c r="M814" i="2"/>
  <c r="Q810" i="2"/>
  <c r="Q822" i="2"/>
  <c r="BG824" i="1"/>
  <c r="BG823" i="1"/>
  <c r="BG822" i="1"/>
  <c r="S814" i="1"/>
  <c r="S819" i="1"/>
  <c r="S821" i="1"/>
  <c r="S813" i="1"/>
  <c r="S817" i="1"/>
  <c r="S818" i="1"/>
  <c r="AR821" i="1"/>
  <c r="BG820" i="1"/>
  <c r="BG821" i="1"/>
  <c r="BG819" i="1"/>
  <c r="AR818" i="1"/>
  <c r="BG818" i="1"/>
  <c r="S816" i="1"/>
  <c r="BG817" i="1"/>
  <c r="BG816" i="1"/>
  <c r="BG815" i="1"/>
  <c r="BG814" i="1"/>
  <c r="S811" i="1"/>
  <c r="S812" i="1"/>
  <c r="BG813" i="1"/>
  <c r="BG812" i="1"/>
  <c r="BG811" i="1"/>
  <c r="BG810" i="1"/>
  <c r="BG809" i="1"/>
  <c r="BG808" i="1"/>
  <c r="BG807" i="1"/>
  <c r="BG806" i="1"/>
  <c r="BG805" i="1"/>
  <c r="BG804" i="1"/>
  <c r="M825" i="2"/>
  <c r="M824" i="2"/>
  <c r="M823" i="2"/>
  <c r="M822" i="2"/>
  <c r="Q817" i="2"/>
  <c r="Q821" i="2"/>
  <c r="Q819" i="2"/>
  <c r="M821" i="2"/>
  <c r="M820" i="2"/>
  <c r="Q811" i="2"/>
  <c r="Q818" i="2"/>
  <c r="Q816" i="2"/>
  <c r="Q813" i="2"/>
  <c r="M819" i="2"/>
  <c r="M818" i="2"/>
  <c r="M817" i="2"/>
  <c r="M816" i="2"/>
  <c r="Q812" i="2"/>
  <c r="Q815" i="2"/>
  <c r="M815" i="2"/>
  <c r="Q814" i="2"/>
  <c r="M813" i="2"/>
  <c r="M812" i="2"/>
  <c r="M811" i="2"/>
  <c r="Q806" i="2"/>
  <c r="Q809" i="2"/>
  <c r="Q807" i="2"/>
  <c r="M810" i="2"/>
  <c r="M809" i="2"/>
  <c r="M808" i="2"/>
  <c r="M807" i="2"/>
  <c r="M806" i="2"/>
  <c r="BE803" i="1" l="1"/>
  <c r="BA803" i="1"/>
  <c r="AL803" i="1"/>
  <c r="AR803" i="1" s="1"/>
  <c r="Z803" i="1"/>
  <c r="Q803" i="1"/>
  <c r="S810" i="1" s="1"/>
  <c r="N803" i="1"/>
  <c r="BE802" i="1"/>
  <c r="BA802" i="1"/>
  <c r="AL802" i="1"/>
  <c r="AR802" i="1" s="1"/>
  <c r="Z802" i="1"/>
  <c r="Q802" i="1"/>
  <c r="S809" i="1" s="1"/>
  <c r="N802" i="1"/>
  <c r="BE801" i="1"/>
  <c r="BA801" i="1"/>
  <c r="AL801" i="1"/>
  <c r="AR801" i="1" s="1"/>
  <c r="Z801" i="1"/>
  <c r="Q801" i="1"/>
  <c r="S808" i="1" s="1"/>
  <c r="N801" i="1"/>
  <c r="BE800" i="1"/>
  <c r="BA800" i="1"/>
  <c r="AL800" i="1"/>
  <c r="AR800" i="1" s="1"/>
  <c r="Z800" i="1"/>
  <c r="Q800" i="1"/>
  <c r="S807" i="1" s="1"/>
  <c r="N800" i="1"/>
  <c r="BE799" i="1"/>
  <c r="BA799" i="1"/>
  <c r="AL799" i="1"/>
  <c r="AR799" i="1" s="1"/>
  <c r="Z799" i="1"/>
  <c r="Q799" i="1"/>
  <c r="S806" i="1" s="1"/>
  <c r="N799" i="1"/>
  <c r="BE798" i="1"/>
  <c r="BA798" i="1"/>
  <c r="AL798" i="1"/>
  <c r="AR798" i="1" s="1"/>
  <c r="Z798" i="1"/>
  <c r="Q798" i="1"/>
  <c r="S805" i="1" s="1"/>
  <c r="N798" i="1"/>
  <c r="BE797" i="1"/>
  <c r="BA797" i="1"/>
  <c r="AL797" i="1"/>
  <c r="AR797" i="1" s="1"/>
  <c r="Z797" i="1"/>
  <c r="Q797" i="1"/>
  <c r="S804" i="1" s="1"/>
  <c r="N797" i="1"/>
  <c r="S804" i="2"/>
  <c r="K804" i="2"/>
  <c r="S803" i="2"/>
  <c r="K803" i="2"/>
  <c r="S802" i="2"/>
  <c r="K802" i="2"/>
  <c r="S801" i="2"/>
  <c r="K801" i="2"/>
  <c r="S800" i="2"/>
  <c r="K800" i="2"/>
  <c r="S799" i="2"/>
  <c r="K799" i="2"/>
  <c r="S798" i="2"/>
  <c r="K798" i="2"/>
  <c r="Q805" i="2" l="1"/>
  <c r="M805" i="2"/>
  <c r="Q803" i="2"/>
  <c r="Q800" i="2"/>
  <c r="BG803" i="1"/>
  <c r="BG802" i="1"/>
  <c r="BG801" i="1"/>
  <c r="BG800" i="1"/>
  <c r="BG798" i="1"/>
  <c r="BG799" i="1"/>
  <c r="BG797" i="1"/>
  <c r="Q801" i="2"/>
  <c r="Q804" i="2"/>
  <c r="M799" i="2"/>
  <c r="Q802" i="2"/>
  <c r="M804" i="2"/>
  <c r="M803" i="2"/>
  <c r="M802" i="2"/>
  <c r="M801" i="2"/>
  <c r="M800" i="2"/>
  <c r="Q799" i="2"/>
  <c r="BE796" i="1" l="1"/>
  <c r="BA796" i="1"/>
  <c r="AL796" i="1"/>
  <c r="Z796" i="1"/>
  <c r="Q796" i="1"/>
  <c r="S803" i="1" s="1"/>
  <c r="N796" i="1"/>
  <c r="BE795" i="1"/>
  <c r="BA795" i="1"/>
  <c r="AL795" i="1"/>
  <c r="AR795" i="1" s="1"/>
  <c r="Z795" i="1"/>
  <c r="Q795" i="1"/>
  <c r="S802" i="1" s="1"/>
  <c r="N795" i="1"/>
  <c r="BE794" i="1"/>
  <c r="BA794" i="1"/>
  <c r="AL794" i="1"/>
  <c r="AR794" i="1" s="1"/>
  <c r="Z794" i="1"/>
  <c r="Q794" i="1"/>
  <c r="S801" i="1" s="1"/>
  <c r="N794" i="1"/>
  <c r="BE793" i="1"/>
  <c r="BA793" i="1"/>
  <c r="AL793" i="1"/>
  <c r="AR793" i="1" s="1"/>
  <c r="Z793" i="1"/>
  <c r="Q793" i="1"/>
  <c r="S800" i="1" s="1"/>
  <c r="N793" i="1"/>
  <c r="W746" i="3"/>
  <c r="BE792" i="1"/>
  <c r="BA792" i="1"/>
  <c r="AL792" i="1"/>
  <c r="Z792" i="1"/>
  <c r="Q792" i="1"/>
  <c r="S799" i="1" s="1"/>
  <c r="N792" i="1"/>
  <c r="BE791" i="1"/>
  <c r="BA791" i="1"/>
  <c r="AL791" i="1"/>
  <c r="AR791" i="1" s="1"/>
  <c r="Z791" i="1"/>
  <c r="Q791" i="1"/>
  <c r="S798" i="1" s="1"/>
  <c r="N791" i="1"/>
  <c r="BE790" i="1"/>
  <c r="BA790" i="1"/>
  <c r="AL790" i="1"/>
  <c r="AR790" i="1" s="1"/>
  <c r="Z790" i="1"/>
  <c r="Q790" i="1"/>
  <c r="S797" i="1" s="1"/>
  <c r="N790" i="1"/>
  <c r="S797" i="2"/>
  <c r="K797" i="2"/>
  <c r="S796" i="2"/>
  <c r="K796" i="2"/>
  <c r="S795" i="2"/>
  <c r="K795" i="2"/>
  <c r="S794" i="2"/>
  <c r="K794" i="2"/>
  <c r="S793" i="2"/>
  <c r="K793" i="2"/>
  <c r="S792" i="2"/>
  <c r="K792" i="2"/>
  <c r="S791" i="2"/>
  <c r="K791" i="2"/>
  <c r="BG793" i="1" l="1"/>
  <c r="Q797" i="2"/>
  <c r="M798" i="2"/>
  <c r="Q798" i="2"/>
  <c r="Q795" i="2"/>
  <c r="AR796" i="1"/>
  <c r="BG796" i="1"/>
  <c r="BG795" i="1"/>
  <c r="BG794" i="1"/>
  <c r="AR792" i="1"/>
  <c r="BG792" i="1"/>
  <c r="BG791" i="1"/>
  <c r="BG790" i="1"/>
  <c r="Q796" i="2"/>
  <c r="M793" i="2"/>
  <c r="M794" i="2"/>
  <c r="M797" i="2"/>
  <c r="M796" i="2"/>
  <c r="M795" i="2"/>
  <c r="Q794" i="2"/>
  <c r="Q793" i="2"/>
  <c r="M792" i="2"/>
  <c r="Q792" i="2"/>
  <c r="BE789" i="1"/>
  <c r="BA789" i="1"/>
  <c r="AL789" i="1"/>
  <c r="AR789" i="1" s="1"/>
  <c r="Z789" i="1"/>
  <c r="Q789" i="1"/>
  <c r="S796" i="1" s="1"/>
  <c r="N789" i="1"/>
  <c r="BE788" i="1"/>
  <c r="BA788" i="1"/>
  <c r="AL788" i="1"/>
  <c r="AR788" i="1" s="1"/>
  <c r="Z788" i="1"/>
  <c r="Q788" i="1"/>
  <c r="S795" i="1" s="1"/>
  <c r="N788" i="1"/>
  <c r="BE787" i="1"/>
  <c r="BA787" i="1"/>
  <c r="AL787" i="1"/>
  <c r="AR787" i="1" s="1"/>
  <c r="Z787" i="1"/>
  <c r="Q787" i="1"/>
  <c r="S794" i="1" s="1"/>
  <c r="N787" i="1"/>
  <c r="BE786" i="1"/>
  <c r="BA786" i="1"/>
  <c r="AL786" i="1"/>
  <c r="Z786" i="1"/>
  <c r="Q786" i="1"/>
  <c r="S793" i="1" s="1"/>
  <c r="N786" i="1"/>
  <c r="BE785" i="1"/>
  <c r="BA785" i="1"/>
  <c r="AL785" i="1"/>
  <c r="AR785" i="1" s="1"/>
  <c r="Z785" i="1"/>
  <c r="Q785" i="1"/>
  <c r="S792" i="1" s="1"/>
  <c r="N785" i="1"/>
  <c r="BE784" i="1"/>
  <c r="BA784" i="1"/>
  <c r="AL784" i="1"/>
  <c r="AR784" i="1" s="1"/>
  <c r="Z784" i="1"/>
  <c r="Q784" i="1"/>
  <c r="S791" i="1" s="1"/>
  <c r="N784" i="1"/>
  <c r="BE783" i="1"/>
  <c r="BA783" i="1"/>
  <c r="AL783" i="1"/>
  <c r="AR783" i="1" s="1"/>
  <c r="Z783" i="1"/>
  <c r="Q783" i="1"/>
  <c r="S790" i="1" s="1"/>
  <c r="N783" i="1"/>
  <c r="S790" i="2"/>
  <c r="K790" i="2"/>
  <c r="Q791" i="2" s="1"/>
  <c r="S789" i="2"/>
  <c r="K789" i="2"/>
  <c r="S788" i="2"/>
  <c r="K788" i="2"/>
  <c r="S787" i="2"/>
  <c r="K787" i="2"/>
  <c r="S786" i="2"/>
  <c r="K786" i="2"/>
  <c r="S785" i="2"/>
  <c r="K785" i="2"/>
  <c r="S784" i="2"/>
  <c r="K784" i="2"/>
  <c r="BG788" i="1" l="1"/>
  <c r="M787" i="2"/>
  <c r="Q785" i="2"/>
  <c r="Q790" i="2"/>
  <c r="M791" i="2"/>
  <c r="BG789" i="1"/>
  <c r="BG787" i="1"/>
  <c r="AR786" i="1"/>
  <c r="BG786" i="1"/>
  <c r="BG785" i="1"/>
  <c r="BG784" i="1"/>
  <c r="BG783" i="1"/>
  <c r="M790" i="2"/>
  <c r="Q788" i="2"/>
  <c r="Q786" i="2"/>
  <c r="Q789" i="2"/>
  <c r="M789" i="2"/>
  <c r="M788" i="2"/>
  <c r="Q787" i="2"/>
  <c r="M786" i="2"/>
  <c r="M785" i="2"/>
  <c r="BE782" i="1" l="1"/>
  <c r="BA782" i="1"/>
  <c r="AL782" i="1"/>
  <c r="AR782" i="1" s="1"/>
  <c r="Z782" i="1"/>
  <c r="Q782" i="1"/>
  <c r="S789" i="1" s="1"/>
  <c r="N782" i="1"/>
  <c r="BE781" i="1"/>
  <c r="BA781" i="1"/>
  <c r="AL781" i="1"/>
  <c r="AR781" i="1" s="1"/>
  <c r="Z781" i="1"/>
  <c r="Q781" i="1"/>
  <c r="S788" i="1" s="1"/>
  <c r="N781" i="1"/>
  <c r="BE780" i="1"/>
  <c r="BA780" i="1"/>
  <c r="AL780" i="1"/>
  <c r="Z780" i="1"/>
  <c r="Q780" i="1"/>
  <c r="N780" i="1"/>
  <c r="BE779" i="1"/>
  <c r="BA779" i="1"/>
  <c r="AL779" i="1"/>
  <c r="AR779" i="1" s="1"/>
  <c r="Z779" i="1"/>
  <c r="Q779" i="1"/>
  <c r="S786" i="1" s="1"/>
  <c r="N779" i="1"/>
  <c r="BE778" i="1"/>
  <c r="BA778" i="1"/>
  <c r="AL778" i="1"/>
  <c r="Z778" i="1"/>
  <c r="Q778" i="1"/>
  <c r="S785" i="1" s="1"/>
  <c r="N778" i="1"/>
  <c r="BE777" i="1"/>
  <c r="BA777" i="1"/>
  <c r="AL777" i="1"/>
  <c r="Z777" i="1"/>
  <c r="Q777" i="1"/>
  <c r="S784" i="1" s="1"/>
  <c r="N777" i="1"/>
  <c r="BE776" i="1"/>
  <c r="BA776" i="1"/>
  <c r="AL776" i="1"/>
  <c r="AR776" i="1" s="1"/>
  <c r="Z776" i="1"/>
  <c r="Q776" i="1"/>
  <c r="S783" i="1" s="1"/>
  <c r="N776" i="1"/>
  <c r="S783" i="2"/>
  <c r="K783" i="2"/>
  <c r="S782" i="2"/>
  <c r="K782" i="2"/>
  <c r="S781" i="2"/>
  <c r="K781" i="2"/>
  <c r="S780" i="2"/>
  <c r="K780" i="2"/>
  <c r="S779" i="2"/>
  <c r="K779" i="2"/>
  <c r="S778" i="2"/>
  <c r="K778" i="2"/>
  <c r="S777" i="2"/>
  <c r="K777" i="2"/>
  <c r="BE775" i="1"/>
  <c r="BA775" i="1"/>
  <c r="AL775" i="1"/>
  <c r="Z775" i="1"/>
  <c r="Q775" i="1"/>
  <c r="N775" i="1"/>
  <c r="BE774" i="1"/>
  <c r="BA774" i="1"/>
  <c r="AL774" i="1"/>
  <c r="AR774" i="1" s="1"/>
  <c r="Z774" i="1"/>
  <c r="Q774" i="1"/>
  <c r="N774" i="1"/>
  <c r="BE773" i="1"/>
  <c r="BA773" i="1"/>
  <c r="AL773" i="1"/>
  <c r="AR773" i="1" s="1"/>
  <c r="Z773" i="1"/>
  <c r="Q773" i="1"/>
  <c r="N773" i="1"/>
  <c r="BE772" i="1"/>
  <c r="BA772" i="1"/>
  <c r="AL772" i="1"/>
  <c r="AR772" i="1" s="1"/>
  <c r="Z772" i="1"/>
  <c r="Q772" i="1"/>
  <c r="N772" i="1"/>
  <c r="BE771" i="1"/>
  <c r="BA771" i="1"/>
  <c r="AL771" i="1"/>
  <c r="AR771" i="1" s="1"/>
  <c r="Z771" i="1"/>
  <c r="Q771" i="1"/>
  <c r="N771" i="1"/>
  <c r="BE770" i="1"/>
  <c r="BA770" i="1"/>
  <c r="AL770" i="1"/>
  <c r="AR770" i="1" s="1"/>
  <c r="Z770" i="1"/>
  <c r="Q770" i="1"/>
  <c r="N770" i="1"/>
  <c r="BE769" i="1"/>
  <c r="BA769" i="1"/>
  <c r="AL769" i="1"/>
  <c r="Z769" i="1"/>
  <c r="Q769" i="1"/>
  <c r="N769" i="1"/>
  <c r="S776" i="2"/>
  <c r="K776" i="2"/>
  <c r="S775" i="2"/>
  <c r="K775" i="2"/>
  <c r="S774" i="2"/>
  <c r="K774" i="2"/>
  <c r="S773" i="2"/>
  <c r="K773" i="2"/>
  <c r="S772" i="2"/>
  <c r="S771" i="2"/>
  <c r="K772" i="2"/>
  <c r="K771" i="2"/>
  <c r="S769" i="2"/>
  <c r="S770" i="2"/>
  <c r="K770" i="2"/>
  <c r="Q779" i="2" l="1"/>
  <c r="Q778" i="2"/>
  <c r="Q780" i="2"/>
  <c r="S780" i="1"/>
  <c r="S787" i="1"/>
  <c r="S776" i="1"/>
  <c r="S782" i="1"/>
  <c r="S781" i="1"/>
  <c r="Q783" i="2"/>
  <c r="Q784" i="2"/>
  <c r="M784" i="2"/>
  <c r="Q782" i="2"/>
  <c r="BG782" i="1"/>
  <c r="BG781" i="1"/>
  <c r="AR780" i="1"/>
  <c r="BG780" i="1"/>
  <c r="BG779" i="1"/>
  <c r="S779" i="1"/>
  <c r="S777" i="1"/>
  <c r="S778" i="1"/>
  <c r="AR778" i="1"/>
  <c r="BG778" i="1"/>
  <c r="AR777" i="1"/>
  <c r="BG777" i="1"/>
  <c r="BG776" i="1"/>
  <c r="M783" i="2"/>
  <c r="M782" i="2"/>
  <c r="M776" i="2"/>
  <c r="Q777" i="2"/>
  <c r="Q774" i="2"/>
  <c r="Q781" i="2"/>
  <c r="M781" i="2"/>
  <c r="M780" i="2"/>
  <c r="M779" i="2"/>
  <c r="M778" i="2"/>
  <c r="M777" i="2"/>
  <c r="Q775" i="2"/>
  <c r="AR775" i="1"/>
  <c r="BG775" i="1"/>
  <c r="BG774" i="1"/>
  <c r="BG773" i="1"/>
  <c r="BG772" i="1"/>
  <c r="BG771" i="1"/>
  <c r="BG770" i="1"/>
  <c r="AR769" i="1"/>
  <c r="BG769" i="1"/>
  <c r="Q776" i="2"/>
  <c r="M775" i="2"/>
  <c r="Q773" i="2"/>
  <c r="Q771" i="2"/>
  <c r="M774" i="2"/>
  <c r="M773" i="2"/>
  <c r="Q772" i="2"/>
  <c r="M772" i="2"/>
  <c r="M771" i="2"/>
  <c r="BE768" i="1" l="1"/>
  <c r="BA768" i="1"/>
  <c r="AL768" i="1"/>
  <c r="AR768" i="1" s="1"/>
  <c r="Z768" i="1"/>
  <c r="Q768" i="1"/>
  <c r="S775" i="1" s="1"/>
  <c r="N768" i="1"/>
  <c r="BE767" i="1"/>
  <c r="BA767" i="1"/>
  <c r="AL767" i="1"/>
  <c r="AR767" i="1" s="1"/>
  <c r="Z767" i="1"/>
  <c r="Q767" i="1"/>
  <c r="S774" i="1" s="1"/>
  <c r="N767" i="1"/>
  <c r="BE766" i="1"/>
  <c r="BA766" i="1"/>
  <c r="AL766" i="1"/>
  <c r="Z766" i="1"/>
  <c r="Q766" i="1"/>
  <c r="S773" i="1" s="1"/>
  <c r="N766" i="1"/>
  <c r="BE765" i="1"/>
  <c r="BA765" i="1"/>
  <c r="AL765" i="1"/>
  <c r="AR765" i="1" s="1"/>
  <c r="Z765" i="1"/>
  <c r="Q765" i="1"/>
  <c r="S772" i="1" s="1"/>
  <c r="N765" i="1"/>
  <c r="BE764" i="1"/>
  <c r="BA764" i="1"/>
  <c r="AL764" i="1"/>
  <c r="AR764" i="1" s="1"/>
  <c r="Z764" i="1"/>
  <c r="Q764" i="1"/>
  <c r="S771" i="1" s="1"/>
  <c r="N764" i="1"/>
  <c r="BE763" i="1"/>
  <c r="BA763" i="1"/>
  <c r="AL763" i="1"/>
  <c r="AR763" i="1" s="1"/>
  <c r="Z763" i="1"/>
  <c r="Q763" i="1"/>
  <c r="S770" i="1" s="1"/>
  <c r="N763" i="1"/>
  <c r="BE762" i="1"/>
  <c r="BA762" i="1"/>
  <c r="AL762" i="1"/>
  <c r="Z762" i="1"/>
  <c r="Q762" i="1"/>
  <c r="S769" i="1" s="1"/>
  <c r="N762" i="1"/>
  <c r="BG763" i="1" l="1"/>
  <c r="BY768" i="1"/>
  <c r="BG768" i="1"/>
  <c r="BG767" i="1"/>
  <c r="AR766" i="1"/>
  <c r="BG766" i="1"/>
  <c r="BG765" i="1"/>
  <c r="BG764" i="1"/>
  <c r="AR762" i="1"/>
  <c r="BG762" i="1"/>
  <c r="K769" i="2"/>
  <c r="S768" i="2"/>
  <c r="K768" i="2"/>
  <c r="S767" i="2"/>
  <c r="K767" i="2"/>
  <c r="S766" i="2"/>
  <c r="K766" i="2"/>
  <c r="S765" i="2"/>
  <c r="K765" i="2"/>
  <c r="S764" i="2"/>
  <c r="K764" i="2"/>
  <c r="S763" i="2"/>
  <c r="K763" i="2"/>
  <c r="Q766" i="2" l="1"/>
  <c r="Q764" i="2"/>
  <c r="M770" i="2"/>
  <c r="Q770" i="2"/>
  <c r="Q767" i="2"/>
  <c r="Q769" i="2"/>
  <c r="M769" i="2"/>
  <c r="Q765" i="2"/>
  <c r="Q768" i="2"/>
  <c r="M768" i="2"/>
  <c r="M767" i="2"/>
  <c r="M766" i="2"/>
  <c r="M765" i="2"/>
  <c r="M764" i="2"/>
  <c r="BE761" i="1"/>
  <c r="BA761" i="1"/>
  <c r="AL761" i="1"/>
  <c r="AR761" i="1" s="1"/>
  <c r="Z761" i="1"/>
  <c r="Q761" i="1"/>
  <c r="S768" i="1" s="1"/>
  <c r="N761" i="1"/>
  <c r="BE760" i="1"/>
  <c r="BA760" i="1"/>
  <c r="AL760" i="1"/>
  <c r="AR760" i="1" s="1"/>
  <c r="Z760" i="1"/>
  <c r="Q760" i="1"/>
  <c r="S767" i="1" s="1"/>
  <c r="N760" i="1"/>
  <c r="BE759" i="1"/>
  <c r="BA759" i="1"/>
  <c r="AL759" i="1"/>
  <c r="AR759" i="1" s="1"/>
  <c r="Z759" i="1"/>
  <c r="Q759" i="1"/>
  <c r="N759" i="1"/>
  <c r="BE758" i="1"/>
  <c r="BA758" i="1"/>
  <c r="AL758" i="1"/>
  <c r="AR758" i="1" s="1"/>
  <c r="Z758" i="1"/>
  <c r="Q758" i="1"/>
  <c r="S765" i="1" s="1"/>
  <c r="N758" i="1"/>
  <c r="BE757" i="1"/>
  <c r="BA757" i="1"/>
  <c r="AL757" i="1"/>
  <c r="AR757" i="1" s="1"/>
  <c r="Z757" i="1"/>
  <c r="Q757" i="1"/>
  <c r="S764" i="1" s="1"/>
  <c r="N757" i="1"/>
  <c r="BE756" i="1"/>
  <c r="BA756" i="1"/>
  <c r="AL756" i="1"/>
  <c r="Z756" i="1"/>
  <c r="Q756" i="1"/>
  <c r="S763" i="1" s="1"/>
  <c r="N756" i="1"/>
  <c r="BE755" i="1"/>
  <c r="BA755" i="1"/>
  <c r="AL755" i="1"/>
  <c r="AR755" i="1" s="1"/>
  <c r="Z755" i="1"/>
  <c r="Q755" i="1"/>
  <c r="S762" i="1" s="1"/>
  <c r="N755" i="1"/>
  <c r="BE754" i="1"/>
  <c r="BA754" i="1"/>
  <c r="AL754" i="1"/>
  <c r="AR754" i="1" s="1"/>
  <c r="Z754" i="1"/>
  <c r="Q754" i="1"/>
  <c r="N754" i="1"/>
  <c r="BE753" i="1"/>
  <c r="BA753" i="1"/>
  <c r="AL753" i="1"/>
  <c r="AR753" i="1" s="1"/>
  <c r="Z753" i="1"/>
  <c r="Q753" i="1"/>
  <c r="N753" i="1"/>
  <c r="BE752" i="1"/>
  <c r="BA752" i="1"/>
  <c r="AL752" i="1"/>
  <c r="AR752" i="1" s="1"/>
  <c r="Z752" i="1"/>
  <c r="Q752" i="1"/>
  <c r="N752" i="1"/>
  <c r="BE751" i="1"/>
  <c r="BA751" i="1"/>
  <c r="AL751" i="1"/>
  <c r="AR751" i="1" s="1"/>
  <c r="Z751" i="1"/>
  <c r="Q751" i="1"/>
  <c r="N751" i="1"/>
  <c r="BE750" i="1"/>
  <c r="BA750" i="1"/>
  <c r="AL750" i="1"/>
  <c r="AR750" i="1" s="1"/>
  <c r="Z750" i="1"/>
  <c r="Q750" i="1"/>
  <c r="N750" i="1"/>
  <c r="BE749" i="1"/>
  <c r="BA749" i="1"/>
  <c r="AL749" i="1"/>
  <c r="AR749" i="1" s="1"/>
  <c r="Z749" i="1"/>
  <c r="Q749" i="1"/>
  <c r="N749" i="1"/>
  <c r="BE748" i="1"/>
  <c r="BA748" i="1"/>
  <c r="AL748" i="1"/>
  <c r="AR748" i="1" s="1"/>
  <c r="Z748" i="1"/>
  <c r="Q748" i="1"/>
  <c r="N748" i="1"/>
  <c r="BE747" i="1"/>
  <c r="BA747" i="1"/>
  <c r="AL747" i="1"/>
  <c r="Z747" i="1"/>
  <c r="Q747" i="1"/>
  <c r="N747" i="1"/>
  <c r="BE746" i="1"/>
  <c r="BA746" i="1"/>
  <c r="AL746" i="1"/>
  <c r="AR746" i="1" s="1"/>
  <c r="Z746" i="1"/>
  <c r="Q746" i="1"/>
  <c r="N746" i="1"/>
  <c r="BE745" i="1"/>
  <c r="BA745" i="1"/>
  <c r="AL745" i="1"/>
  <c r="Z745" i="1"/>
  <c r="Q745" i="1"/>
  <c r="N745" i="1"/>
  <c r="BE744" i="1"/>
  <c r="BA744" i="1"/>
  <c r="AL744" i="1"/>
  <c r="AR744" i="1" s="1"/>
  <c r="Z744" i="1"/>
  <c r="Q744" i="1"/>
  <c r="N744" i="1"/>
  <c r="AA698" i="3"/>
  <c r="BE743" i="1"/>
  <c r="BA743" i="1"/>
  <c r="AL743" i="1"/>
  <c r="AR743" i="1" s="1"/>
  <c r="Z743" i="1"/>
  <c r="Q743" i="1"/>
  <c r="N743" i="1"/>
  <c r="BE742" i="1"/>
  <c r="BA742" i="1"/>
  <c r="AL742" i="1"/>
  <c r="AR742" i="1" s="1"/>
  <c r="Z742" i="1"/>
  <c r="Q742" i="1"/>
  <c r="N742" i="1"/>
  <c r="BE741" i="1"/>
  <c r="BA741" i="1"/>
  <c r="AL741" i="1"/>
  <c r="AR741" i="1" s="1"/>
  <c r="Z741" i="1"/>
  <c r="Q741" i="1"/>
  <c r="N741" i="1"/>
  <c r="S762" i="2"/>
  <c r="K762" i="2"/>
  <c r="Q763" i="2" s="1"/>
  <c r="S761" i="2"/>
  <c r="K761" i="2"/>
  <c r="S760" i="2"/>
  <c r="V858" i="2"/>
  <c r="K760" i="2"/>
  <c r="S759" i="2"/>
  <c r="K759" i="2"/>
  <c r="S758" i="2"/>
  <c r="K758" i="2"/>
  <c r="S757" i="2"/>
  <c r="K757" i="2"/>
  <c r="S756" i="2"/>
  <c r="K756" i="2"/>
  <c r="S755" i="2"/>
  <c r="K755" i="2"/>
  <c r="S754" i="2"/>
  <c r="K754" i="2"/>
  <c r="S753" i="2"/>
  <c r="K753" i="2"/>
  <c r="S752" i="2"/>
  <c r="K752" i="2"/>
  <c r="S751" i="2"/>
  <c r="K751" i="2"/>
  <c r="S750" i="2"/>
  <c r="K750" i="2"/>
  <c r="S749" i="2"/>
  <c r="K749" i="2"/>
  <c r="S748" i="2"/>
  <c r="K748" i="2"/>
  <c r="S747" i="2"/>
  <c r="K747" i="2"/>
  <c r="S746" i="2"/>
  <c r="K746" i="2"/>
  <c r="S745" i="2"/>
  <c r="K745" i="2"/>
  <c r="S744" i="2"/>
  <c r="K744" i="2"/>
  <c r="S743" i="2"/>
  <c r="K743" i="2"/>
  <c r="S742" i="2"/>
  <c r="K742" i="2"/>
  <c r="BE740" i="1"/>
  <c r="BA740" i="1"/>
  <c r="AL740" i="1"/>
  <c r="AR740" i="1" s="1"/>
  <c r="Z740" i="1"/>
  <c r="Q740" i="1"/>
  <c r="N740" i="1"/>
  <c r="BE739" i="1"/>
  <c r="BA739" i="1"/>
  <c r="AL739" i="1"/>
  <c r="AR739" i="1" s="1"/>
  <c r="Z739" i="1"/>
  <c r="Q739" i="1"/>
  <c r="N739" i="1"/>
  <c r="Q756" i="2" l="1"/>
  <c r="X769" i="2"/>
  <c r="BG760" i="1"/>
  <c r="Q761" i="2"/>
  <c r="S759" i="1"/>
  <c r="S766" i="1"/>
  <c r="S761" i="1"/>
  <c r="S753" i="1"/>
  <c r="S757" i="1"/>
  <c r="M763" i="2"/>
  <c r="Q755" i="2"/>
  <c r="Q759" i="2"/>
  <c r="Q762" i="2"/>
  <c r="Q753" i="2"/>
  <c r="BG761" i="1"/>
  <c r="S760" i="1"/>
  <c r="BG759" i="1"/>
  <c r="BG758" i="1"/>
  <c r="S754" i="1"/>
  <c r="BG751" i="1"/>
  <c r="S758" i="1"/>
  <c r="S756" i="1"/>
  <c r="BG757" i="1"/>
  <c r="AR756" i="1"/>
  <c r="S751" i="1"/>
  <c r="S750" i="1"/>
  <c r="S746" i="1"/>
  <c r="S755" i="1"/>
  <c r="S749" i="1"/>
  <c r="BG754" i="1"/>
  <c r="BG756" i="1"/>
  <c r="BG755" i="1"/>
  <c r="BG753" i="1"/>
  <c r="S752" i="1"/>
  <c r="S748" i="1"/>
  <c r="BG740" i="1"/>
  <c r="BG752" i="1"/>
  <c r="BG750" i="1"/>
  <c r="BG749" i="1"/>
  <c r="BG748" i="1"/>
  <c r="S747" i="1"/>
  <c r="AR747" i="1"/>
  <c r="BG747" i="1"/>
  <c r="BG746" i="1"/>
  <c r="AR745" i="1"/>
  <c r="BG745" i="1"/>
  <c r="BG743" i="1"/>
  <c r="BG744" i="1"/>
  <c r="BG742" i="1"/>
  <c r="BG741" i="1"/>
  <c r="M762" i="2"/>
  <c r="M761" i="2"/>
  <c r="Q750" i="2"/>
  <c r="Q757" i="2"/>
  <c r="Q760" i="2"/>
  <c r="Q752" i="2"/>
  <c r="Q758" i="2"/>
  <c r="M760" i="2"/>
  <c r="M759" i="2"/>
  <c r="M758" i="2"/>
  <c r="M757" i="2"/>
  <c r="M756" i="2"/>
  <c r="M755" i="2"/>
  <c r="Q747" i="2"/>
  <c r="Q751" i="2"/>
  <c r="Q754" i="2"/>
  <c r="M754" i="2"/>
  <c r="M753" i="2"/>
  <c r="M752" i="2"/>
  <c r="M751" i="2"/>
  <c r="M750" i="2"/>
  <c r="Q745" i="2"/>
  <c r="Q748" i="2"/>
  <c r="Q749" i="2"/>
  <c r="M749" i="2"/>
  <c r="M748" i="2"/>
  <c r="M747" i="2"/>
  <c r="Q743" i="2"/>
  <c r="Q746" i="2"/>
  <c r="Q744" i="2"/>
  <c r="M746" i="2"/>
  <c r="M745" i="2"/>
  <c r="M744" i="2"/>
  <c r="M743" i="2"/>
  <c r="BG739" i="1"/>
  <c r="X762" i="2" l="1"/>
  <c r="Y769" i="2" s="1"/>
  <c r="Y770" i="2" s="1"/>
  <c r="BE738" i="1"/>
  <c r="BA738" i="1"/>
  <c r="AL738" i="1"/>
  <c r="AR738" i="1" s="1"/>
  <c r="Z738" i="1"/>
  <c r="Q738" i="1"/>
  <c r="S745" i="1" s="1"/>
  <c r="N738" i="1"/>
  <c r="BE737" i="1"/>
  <c r="BA737" i="1"/>
  <c r="AL737" i="1"/>
  <c r="AR737" i="1" s="1"/>
  <c r="Z737" i="1"/>
  <c r="Q737" i="1"/>
  <c r="S744" i="1" s="1"/>
  <c r="N737" i="1"/>
  <c r="AA691" i="3"/>
  <c r="BE736" i="1"/>
  <c r="BA736" i="1"/>
  <c r="AL736" i="1"/>
  <c r="AR736" i="1" s="1"/>
  <c r="Z736" i="1"/>
  <c r="Q736" i="1"/>
  <c r="S743" i="1" s="1"/>
  <c r="N736" i="1"/>
  <c r="BE735" i="1"/>
  <c r="BA735" i="1"/>
  <c r="AL735" i="1"/>
  <c r="AR735" i="1" s="1"/>
  <c r="Z735" i="1"/>
  <c r="Q735" i="1"/>
  <c r="S742" i="1" s="1"/>
  <c r="N735" i="1"/>
  <c r="BE734" i="1"/>
  <c r="BA734" i="1"/>
  <c r="AL734" i="1"/>
  <c r="AR734" i="1" s="1"/>
  <c r="Z734" i="1"/>
  <c r="Q734" i="1"/>
  <c r="S741" i="1" s="1"/>
  <c r="N734" i="1"/>
  <c r="E740" i="2"/>
  <c r="K740" i="2" s="1"/>
  <c r="S741" i="2"/>
  <c r="K741" i="2"/>
  <c r="S740" i="2"/>
  <c r="S739" i="2"/>
  <c r="K739" i="2"/>
  <c r="S738" i="2"/>
  <c r="K738" i="2"/>
  <c r="S737" i="2"/>
  <c r="K737" i="2"/>
  <c r="G735" i="2"/>
  <c r="E735" i="2"/>
  <c r="S736" i="2"/>
  <c r="K736" i="2"/>
  <c r="S735" i="2"/>
  <c r="Q739" i="2" l="1"/>
  <c r="Q742" i="2"/>
  <c r="M742" i="2"/>
  <c r="M737" i="2"/>
  <c r="K735" i="2"/>
  <c r="Q736" i="2" s="1"/>
  <c r="BG738" i="1"/>
  <c r="BG737" i="1"/>
  <c r="BG736" i="1"/>
  <c r="BG735" i="1"/>
  <c r="BG734" i="1"/>
  <c r="Q738" i="2"/>
  <c r="M740" i="2"/>
  <c r="M741" i="2"/>
  <c r="Q741" i="2"/>
  <c r="Q740" i="2"/>
  <c r="M739" i="2"/>
  <c r="M738" i="2"/>
  <c r="Q737" i="2"/>
  <c r="M736" i="2" l="1"/>
  <c r="BE733" i="1"/>
  <c r="BA733" i="1"/>
  <c r="AL733" i="1"/>
  <c r="Z733" i="1"/>
  <c r="Q733" i="1"/>
  <c r="S740" i="1" s="1"/>
  <c r="N733" i="1"/>
  <c r="BE732" i="1"/>
  <c r="BA732" i="1"/>
  <c r="AL732" i="1"/>
  <c r="AR732" i="1" s="1"/>
  <c r="Z732" i="1"/>
  <c r="Q732" i="1"/>
  <c r="S739" i="1" s="1"/>
  <c r="N732" i="1"/>
  <c r="BQ858" i="1"/>
  <c r="BQ859" i="1" s="1"/>
  <c r="BE731" i="1"/>
  <c r="BA731" i="1"/>
  <c r="AL731" i="1"/>
  <c r="Z731" i="1"/>
  <c r="Q731" i="1"/>
  <c r="S738" i="1" s="1"/>
  <c r="N731" i="1"/>
  <c r="BE730" i="1"/>
  <c r="BA730" i="1"/>
  <c r="AL730" i="1"/>
  <c r="Z730" i="1"/>
  <c r="Q730" i="1"/>
  <c r="S737" i="1" s="1"/>
  <c r="N730" i="1"/>
  <c r="BE729" i="1"/>
  <c r="BA729" i="1"/>
  <c r="AL729" i="1"/>
  <c r="AR729" i="1" s="1"/>
  <c r="Z729" i="1"/>
  <c r="Q729" i="1"/>
  <c r="S736" i="1" s="1"/>
  <c r="N729" i="1"/>
  <c r="BE728" i="1"/>
  <c r="BA728" i="1"/>
  <c r="AL728" i="1"/>
  <c r="AR728" i="1" s="1"/>
  <c r="Z728" i="1"/>
  <c r="Q728" i="1"/>
  <c r="S735" i="1" s="1"/>
  <c r="N728" i="1"/>
  <c r="BE727" i="1"/>
  <c r="BA727" i="1"/>
  <c r="AL727" i="1"/>
  <c r="AR727" i="1" s="1"/>
  <c r="Z727" i="1"/>
  <c r="Q727" i="1"/>
  <c r="S734" i="1" s="1"/>
  <c r="N727" i="1"/>
  <c r="I733" i="2"/>
  <c r="G733" i="2"/>
  <c r="E733" i="2"/>
  <c r="S734" i="2"/>
  <c r="K734" i="2"/>
  <c r="S733" i="2"/>
  <c r="S732" i="2"/>
  <c r="K732" i="2"/>
  <c r="S731" i="2"/>
  <c r="K731" i="2"/>
  <c r="S730" i="2"/>
  <c r="K730" i="2"/>
  <c r="S729" i="2"/>
  <c r="K729" i="2"/>
  <c r="S728" i="2"/>
  <c r="K728" i="2"/>
  <c r="BE726" i="1"/>
  <c r="BA726" i="1"/>
  <c r="AL726" i="1"/>
  <c r="AR726" i="1" s="1"/>
  <c r="Z726" i="1"/>
  <c r="Q726" i="1"/>
  <c r="N726" i="1"/>
  <c r="BE725" i="1"/>
  <c r="BA725" i="1"/>
  <c r="AL725" i="1"/>
  <c r="AR725" i="1" s="1"/>
  <c r="Z725" i="1"/>
  <c r="Q725" i="1"/>
  <c r="N725" i="1"/>
  <c r="BE724" i="1"/>
  <c r="BA724" i="1"/>
  <c r="AL724" i="1"/>
  <c r="AR724" i="1" s="1"/>
  <c r="Z724" i="1"/>
  <c r="Q724" i="1"/>
  <c r="N724" i="1"/>
  <c r="BE723" i="1"/>
  <c r="BA723" i="1"/>
  <c r="AL723" i="1"/>
  <c r="Z723" i="1"/>
  <c r="Q723" i="1"/>
  <c r="N723" i="1"/>
  <c r="BE722" i="1"/>
  <c r="BA722" i="1"/>
  <c r="AL722" i="1"/>
  <c r="AR722" i="1" s="1"/>
  <c r="Z722" i="1"/>
  <c r="Q722" i="1"/>
  <c r="N722" i="1"/>
  <c r="BE721" i="1"/>
  <c r="BA721" i="1"/>
  <c r="AL721" i="1"/>
  <c r="AR721" i="1" s="1"/>
  <c r="Z721" i="1"/>
  <c r="Q721" i="1"/>
  <c r="N721" i="1"/>
  <c r="BE720" i="1"/>
  <c r="BA720" i="1"/>
  <c r="AL720" i="1"/>
  <c r="AR720" i="1" s="1"/>
  <c r="Z720" i="1"/>
  <c r="Q720" i="1"/>
  <c r="N720" i="1"/>
  <c r="S727" i="2"/>
  <c r="K727" i="2"/>
  <c r="S726" i="2"/>
  <c r="K726" i="2"/>
  <c r="S725" i="2"/>
  <c r="K725" i="2"/>
  <c r="S724" i="2"/>
  <c r="K724" i="2"/>
  <c r="S723" i="2"/>
  <c r="K723" i="2"/>
  <c r="S722" i="2"/>
  <c r="K722" i="2"/>
  <c r="S721" i="2"/>
  <c r="K721" i="2"/>
  <c r="BE719" i="1"/>
  <c r="BA719" i="1"/>
  <c r="AL719" i="1"/>
  <c r="AR719" i="1" s="1"/>
  <c r="Z719" i="1"/>
  <c r="Q719" i="1"/>
  <c r="N719" i="1"/>
  <c r="BE718" i="1"/>
  <c r="BA718" i="1"/>
  <c r="AL718" i="1"/>
  <c r="Z718" i="1"/>
  <c r="Q718" i="1"/>
  <c r="N718" i="1"/>
  <c r="BE717" i="1"/>
  <c r="BA717" i="1"/>
  <c r="AL717" i="1"/>
  <c r="AR717" i="1" s="1"/>
  <c r="Z717" i="1"/>
  <c r="Q717" i="1"/>
  <c r="N717" i="1"/>
  <c r="BE716" i="1"/>
  <c r="BA716" i="1"/>
  <c r="AL716" i="1"/>
  <c r="Z716" i="1"/>
  <c r="Q716" i="1"/>
  <c r="N716" i="1"/>
  <c r="BE715" i="1"/>
  <c r="BA715" i="1"/>
  <c r="AL715" i="1"/>
  <c r="AR715" i="1" s="1"/>
  <c r="Z715" i="1"/>
  <c r="Q715" i="1"/>
  <c r="N715" i="1"/>
  <c r="BE714" i="1"/>
  <c r="BA714" i="1"/>
  <c r="AL714" i="1"/>
  <c r="AR714" i="1" s="1"/>
  <c r="Z714" i="1"/>
  <c r="Q714" i="1"/>
  <c r="N714" i="1"/>
  <c r="BE713" i="1"/>
  <c r="BA713" i="1"/>
  <c r="AL713" i="1"/>
  <c r="AR713" i="1" s="1"/>
  <c r="Z713" i="1"/>
  <c r="Q713" i="1"/>
  <c r="N713" i="1"/>
  <c r="S720" i="2"/>
  <c r="K720" i="2"/>
  <c r="S719" i="2"/>
  <c r="K719" i="2"/>
  <c r="S718" i="2"/>
  <c r="K718" i="2"/>
  <c r="S717" i="2"/>
  <c r="K717" i="2"/>
  <c r="S716" i="2"/>
  <c r="K716" i="2"/>
  <c r="S715" i="2"/>
  <c r="K715" i="2"/>
  <c r="S714" i="2"/>
  <c r="K714" i="2"/>
  <c r="S733" i="1" l="1"/>
  <c r="BG724" i="1"/>
  <c r="AR733" i="1"/>
  <c r="Q731" i="2"/>
  <c r="K733" i="2"/>
  <c r="Q733" i="2" s="1"/>
  <c r="Q735" i="2"/>
  <c r="M735" i="2"/>
  <c r="Q723" i="2"/>
  <c r="Q729" i="2"/>
  <c r="Q732" i="2"/>
  <c r="BG733" i="1"/>
  <c r="S729" i="1"/>
  <c r="BG729" i="1"/>
  <c r="S731" i="1"/>
  <c r="S727" i="1"/>
  <c r="S730" i="1"/>
  <c r="S732" i="1"/>
  <c r="BG732" i="1"/>
  <c r="AR731" i="1"/>
  <c r="BG731" i="1"/>
  <c r="AR730" i="1"/>
  <c r="BG730" i="1"/>
  <c r="BG728" i="1"/>
  <c r="S721" i="1"/>
  <c r="S726" i="1"/>
  <c r="BG721" i="1"/>
  <c r="S725" i="1"/>
  <c r="S728" i="1"/>
  <c r="S724" i="1"/>
  <c r="BG727" i="1"/>
  <c r="Q734" i="2"/>
  <c r="M734" i="2"/>
  <c r="Q724" i="2"/>
  <c r="Q730" i="2"/>
  <c r="Q721" i="2"/>
  <c r="Q725" i="2"/>
  <c r="Q728" i="2"/>
  <c r="M732" i="2"/>
  <c r="M731" i="2"/>
  <c r="M730" i="2"/>
  <c r="M729" i="2"/>
  <c r="M728" i="2"/>
  <c r="Q720" i="2"/>
  <c r="Q722" i="2"/>
  <c r="Q727" i="2"/>
  <c r="Q726" i="2"/>
  <c r="M724" i="2"/>
  <c r="BG726" i="1"/>
  <c r="BG725" i="1"/>
  <c r="S722" i="1"/>
  <c r="S720" i="1"/>
  <c r="S723" i="1"/>
  <c r="AR723" i="1"/>
  <c r="BG723" i="1"/>
  <c r="BG722" i="1"/>
  <c r="BG720" i="1"/>
  <c r="BG715" i="1"/>
  <c r="M727" i="2"/>
  <c r="M726" i="2"/>
  <c r="M725" i="2"/>
  <c r="M723" i="2"/>
  <c r="M722" i="2"/>
  <c r="M721" i="2"/>
  <c r="Q719" i="2"/>
  <c r="Q715" i="2"/>
  <c r="Q717" i="2"/>
  <c r="Q718" i="2"/>
  <c r="Q716" i="2"/>
  <c r="BG719" i="1"/>
  <c r="AR718" i="1"/>
  <c r="BG718" i="1"/>
  <c r="BG717" i="1"/>
  <c r="AR716" i="1"/>
  <c r="BG716" i="1"/>
  <c r="BG714" i="1"/>
  <c r="BG713" i="1"/>
  <c r="M720" i="2"/>
  <c r="M719" i="2"/>
  <c r="M718" i="2"/>
  <c r="M717" i="2"/>
  <c r="M716" i="2"/>
  <c r="M715" i="2"/>
  <c r="M733" i="2" l="1"/>
  <c r="BE712" i="1"/>
  <c r="BA712" i="1"/>
  <c r="AL712" i="1"/>
  <c r="Z712" i="1"/>
  <c r="Q712" i="1"/>
  <c r="S719" i="1" s="1"/>
  <c r="N712" i="1"/>
  <c r="BE711" i="1"/>
  <c r="BA711" i="1"/>
  <c r="AL711" i="1"/>
  <c r="AR711" i="1" s="1"/>
  <c r="Z711" i="1"/>
  <c r="Q711" i="1"/>
  <c r="S718" i="1" s="1"/>
  <c r="N711" i="1"/>
  <c r="BE710" i="1"/>
  <c r="BA710" i="1"/>
  <c r="AL710" i="1"/>
  <c r="Z710" i="1"/>
  <c r="Q710" i="1"/>
  <c r="S717" i="1" s="1"/>
  <c r="N710" i="1"/>
  <c r="BE709" i="1"/>
  <c r="BA709" i="1"/>
  <c r="AL709" i="1"/>
  <c r="AR709" i="1" s="1"/>
  <c r="Z709" i="1"/>
  <c r="Q709" i="1"/>
  <c r="S716" i="1" s="1"/>
  <c r="N709" i="1"/>
  <c r="BE708" i="1"/>
  <c r="BA708" i="1"/>
  <c r="AL708" i="1"/>
  <c r="Z708" i="1"/>
  <c r="Q708" i="1"/>
  <c r="S715" i="1" s="1"/>
  <c r="N708" i="1"/>
  <c r="BE707" i="1"/>
  <c r="BA707" i="1"/>
  <c r="AL707" i="1"/>
  <c r="Z707" i="1"/>
  <c r="Q707" i="1"/>
  <c r="S714" i="1" s="1"/>
  <c r="N707" i="1"/>
  <c r="BE706" i="1"/>
  <c r="BA706" i="1"/>
  <c r="AL706" i="1"/>
  <c r="AR706" i="1" s="1"/>
  <c r="Z706" i="1"/>
  <c r="Q706" i="1"/>
  <c r="S713" i="1" s="1"/>
  <c r="N706" i="1"/>
  <c r="S713" i="2"/>
  <c r="K713" i="2"/>
  <c r="S712" i="2"/>
  <c r="K712" i="2"/>
  <c r="S711" i="2"/>
  <c r="K711" i="2"/>
  <c r="S710" i="2"/>
  <c r="K710" i="2"/>
  <c r="S709" i="2"/>
  <c r="K709" i="2"/>
  <c r="S708" i="2"/>
  <c r="K708" i="2"/>
  <c r="S707" i="2"/>
  <c r="K707" i="2"/>
  <c r="Q710" i="2" l="1"/>
  <c r="Q713" i="2"/>
  <c r="Q714" i="2"/>
  <c r="M714" i="2"/>
  <c r="Q708" i="2"/>
  <c r="M711" i="2"/>
  <c r="Q712" i="2"/>
  <c r="AR712" i="1"/>
  <c r="BG712" i="1"/>
  <c r="BG711" i="1"/>
  <c r="BG707" i="1"/>
  <c r="AR710" i="1"/>
  <c r="BG710" i="1"/>
  <c r="BG709" i="1"/>
  <c r="AR708" i="1"/>
  <c r="BG708" i="1"/>
  <c r="AR707" i="1"/>
  <c r="BG706" i="1"/>
  <c r="M713" i="2"/>
  <c r="M712" i="2"/>
  <c r="Q711" i="2"/>
  <c r="M710" i="2"/>
  <c r="Q709" i="2"/>
  <c r="M709" i="2"/>
  <c r="M708" i="2"/>
  <c r="BE705" i="1" l="1"/>
  <c r="BA705" i="1"/>
  <c r="AL705" i="1"/>
  <c r="AR705" i="1" s="1"/>
  <c r="Z705" i="1"/>
  <c r="Q705" i="1"/>
  <c r="S712" i="1" s="1"/>
  <c r="N705" i="1"/>
  <c r="BE704" i="1"/>
  <c r="BA704" i="1"/>
  <c r="AL704" i="1"/>
  <c r="AR704" i="1" s="1"/>
  <c r="Z704" i="1"/>
  <c r="Q704" i="1"/>
  <c r="S711" i="1" s="1"/>
  <c r="N704" i="1"/>
  <c r="BE703" i="1"/>
  <c r="BA703" i="1"/>
  <c r="AL703" i="1"/>
  <c r="Z703" i="1"/>
  <c r="Q703" i="1"/>
  <c r="S710" i="1" s="1"/>
  <c r="N703" i="1"/>
  <c r="BE702" i="1"/>
  <c r="BA702" i="1"/>
  <c r="AL702" i="1"/>
  <c r="AR702" i="1" s="1"/>
  <c r="Z702" i="1"/>
  <c r="Q702" i="1"/>
  <c r="S709" i="1" s="1"/>
  <c r="N702" i="1"/>
  <c r="BE701" i="1"/>
  <c r="BA701" i="1"/>
  <c r="AL701" i="1"/>
  <c r="AR701" i="1" s="1"/>
  <c r="Z701" i="1"/>
  <c r="Q701" i="1"/>
  <c r="S708" i="1" s="1"/>
  <c r="N701" i="1"/>
  <c r="BE700" i="1"/>
  <c r="BA700" i="1"/>
  <c r="AL700" i="1"/>
  <c r="AR700" i="1" s="1"/>
  <c r="Z700" i="1"/>
  <c r="Q700" i="1"/>
  <c r="S707" i="1" s="1"/>
  <c r="N700" i="1"/>
  <c r="BE699" i="1"/>
  <c r="BA699" i="1"/>
  <c r="AL699" i="1"/>
  <c r="AR699" i="1" s="1"/>
  <c r="Z699" i="1"/>
  <c r="Q699" i="1"/>
  <c r="S706" i="1" s="1"/>
  <c r="N699" i="1"/>
  <c r="S706" i="2"/>
  <c r="K706" i="2"/>
  <c r="S705" i="2"/>
  <c r="K705" i="2"/>
  <c r="S704" i="2"/>
  <c r="K704" i="2"/>
  <c r="S703" i="2"/>
  <c r="K703" i="2"/>
  <c r="S702" i="2"/>
  <c r="K702" i="2"/>
  <c r="S701" i="2"/>
  <c r="K701" i="2"/>
  <c r="S700" i="2"/>
  <c r="K700" i="2"/>
  <c r="BE698" i="1"/>
  <c r="BA698" i="1"/>
  <c r="AL698" i="1"/>
  <c r="AR698" i="1" s="1"/>
  <c r="Z698" i="1"/>
  <c r="Q698" i="1"/>
  <c r="N698" i="1"/>
  <c r="BE697" i="1"/>
  <c r="BA697" i="1"/>
  <c r="AL697" i="1"/>
  <c r="AR697" i="1" s="1"/>
  <c r="Z697" i="1"/>
  <c r="Q697" i="1"/>
  <c r="N697" i="1"/>
  <c r="BE696" i="1"/>
  <c r="BA696" i="1"/>
  <c r="AL696" i="1"/>
  <c r="AR696" i="1" s="1"/>
  <c r="Z696" i="1"/>
  <c r="Q696" i="1"/>
  <c r="N696" i="1"/>
  <c r="BE695" i="1"/>
  <c r="BA695" i="1"/>
  <c r="AL695" i="1"/>
  <c r="Z695" i="1"/>
  <c r="Q695" i="1"/>
  <c r="N695" i="1"/>
  <c r="BE694" i="1"/>
  <c r="BA694" i="1"/>
  <c r="AL694" i="1"/>
  <c r="AR694" i="1" s="1"/>
  <c r="Z694" i="1"/>
  <c r="Q694" i="1"/>
  <c r="N694" i="1"/>
  <c r="BE693" i="1"/>
  <c r="BA693" i="1"/>
  <c r="AL693" i="1"/>
  <c r="AR693" i="1" s="1"/>
  <c r="Z693" i="1"/>
  <c r="Q693" i="1"/>
  <c r="N693" i="1"/>
  <c r="BE692" i="1"/>
  <c r="BA692" i="1"/>
  <c r="AL692" i="1"/>
  <c r="AR692" i="1" s="1"/>
  <c r="Z692" i="1"/>
  <c r="Q692" i="1"/>
  <c r="N692" i="1"/>
  <c r="S699" i="2"/>
  <c r="K699" i="2"/>
  <c r="S698" i="2"/>
  <c r="K698" i="2"/>
  <c r="S697" i="2"/>
  <c r="K697" i="2"/>
  <c r="S696" i="2"/>
  <c r="K696" i="2"/>
  <c r="S695" i="2"/>
  <c r="K695" i="2"/>
  <c r="S694" i="2"/>
  <c r="K694" i="2"/>
  <c r="S693" i="2"/>
  <c r="K693" i="2"/>
  <c r="S700" i="1" l="1"/>
  <c r="S705" i="1"/>
  <c r="Q707" i="2"/>
  <c r="M707" i="2"/>
  <c r="Q705" i="2"/>
  <c r="Q703" i="2"/>
  <c r="Q700" i="2"/>
  <c r="M702" i="2"/>
  <c r="BG705" i="1"/>
  <c r="S704" i="1"/>
  <c r="S703" i="1"/>
  <c r="BG704" i="1"/>
  <c r="AR703" i="1"/>
  <c r="BG703" i="1"/>
  <c r="S702" i="1"/>
  <c r="BG702" i="1"/>
  <c r="S701" i="1"/>
  <c r="BG701" i="1"/>
  <c r="BG700" i="1"/>
  <c r="S699" i="1"/>
  <c r="BG699" i="1"/>
  <c r="Q706" i="2"/>
  <c r="M706" i="2"/>
  <c r="M705" i="2"/>
  <c r="Q704" i="2"/>
  <c r="Q697" i="2"/>
  <c r="Q702" i="2"/>
  <c r="M704" i="2"/>
  <c r="M703" i="2"/>
  <c r="Q701" i="2"/>
  <c r="M701" i="2"/>
  <c r="M700" i="2"/>
  <c r="Q694" i="2"/>
  <c r="Q698" i="2"/>
  <c r="BG698" i="1"/>
  <c r="BG697" i="1"/>
  <c r="BG696" i="1"/>
  <c r="AR695" i="1"/>
  <c r="BG695" i="1"/>
  <c r="BG694" i="1"/>
  <c r="BG693" i="1"/>
  <c r="BG692" i="1"/>
  <c r="Q699" i="2"/>
  <c r="M699" i="2"/>
  <c r="Q696" i="2"/>
  <c r="M698" i="2"/>
  <c r="M697" i="2"/>
  <c r="M696" i="2"/>
  <c r="Q695" i="2"/>
  <c r="M695" i="2"/>
  <c r="M694" i="2"/>
  <c r="BE691" i="1" l="1"/>
  <c r="BA691" i="1"/>
  <c r="AL691" i="1"/>
  <c r="AR691" i="1" s="1"/>
  <c r="Z691" i="1"/>
  <c r="Q691" i="1"/>
  <c r="S698" i="1" s="1"/>
  <c r="N691" i="1"/>
  <c r="BE690" i="1"/>
  <c r="CC690" i="1" s="1"/>
  <c r="BA690" i="1"/>
  <c r="CA690" i="1" s="1"/>
  <c r="AL690" i="1"/>
  <c r="AR690" i="1" s="1"/>
  <c r="Z690" i="1"/>
  <c r="Q690" i="1"/>
  <c r="S697" i="1" s="1"/>
  <c r="N690" i="1"/>
  <c r="BE689" i="1"/>
  <c r="CC689" i="1" s="1"/>
  <c r="BA689" i="1"/>
  <c r="CA689" i="1" s="1"/>
  <c r="AL689" i="1"/>
  <c r="AR689" i="1" s="1"/>
  <c r="Z689" i="1"/>
  <c r="Q689" i="1"/>
  <c r="S696" i="1" s="1"/>
  <c r="N689" i="1"/>
  <c r="BE688" i="1"/>
  <c r="CC688" i="1" s="1"/>
  <c r="BA688" i="1"/>
  <c r="CA688" i="1" s="1"/>
  <c r="AL688" i="1"/>
  <c r="AR688" i="1" s="1"/>
  <c r="Z688" i="1"/>
  <c r="Q688" i="1"/>
  <c r="S695" i="1" s="1"/>
  <c r="N688" i="1"/>
  <c r="BE687" i="1"/>
  <c r="CC687" i="1" s="1"/>
  <c r="BA687" i="1"/>
  <c r="CA687" i="1" s="1"/>
  <c r="AL687" i="1"/>
  <c r="AR687" i="1" s="1"/>
  <c r="Z687" i="1"/>
  <c r="Q687" i="1"/>
  <c r="S694" i="1" s="1"/>
  <c r="N687" i="1"/>
  <c r="BE686" i="1"/>
  <c r="CC686" i="1" s="1"/>
  <c r="BA686" i="1"/>
  <c r="CA686" i="1" s="1"/>
  <c r="AL686" i="1"/>
  <c r="AR686" i="1" s="1"/>
  <c r="Z686" i="1"/>
  <c r="Q686" i="1"/>
  <c r="S693" i="1" s="1"/>
  <c r="N686" i="1"/>
  <c r="BE685" i="1"/>
  <c r="CC685" i="1" s="1"/>
  <c r="BA685" i="1"/>
  <c r="CA685" i="1" s="1"/>
  <c r="AL685" i="1"/>
  <c r="AR685" i="1" s="1"/>
  <c r="Z685" i="1"/>
  <c r="Q685" i="1"/>
  <c r="S692" i="1" s="1"/>
  <c r="N685" i="1"/>
  <c r="AA639" i="3"/>
  <c r="CG687" i="1" l="1"/>
  <c r="CG686" i="1"/>
  <c r="CG685" i="1"/>
  <c r="CG689" i="1"/>
  <c r="CG688" i="1"/>
  <c r="CC691" i="1"/>
  <c r="CG690" i="1"/>
  <c r="CA691" i="1"/>
  <c r="BG691" i="1"/>
  <c r="BG690" i="1"/>
  <c r="BG689" i="1"/>
  <c r="BG688" i="1"/>
  <c r="BG687" i="1"/>
  <c r="BG686" i="1"/>
  <c r="BG685" i="1"/>
  <c r="CG691" i="1" l="1"/>
  <c r="BE684" i="1"/>
  <c r="CC684" i="1" s="1"/>
  <c r="BA684" i="1"/>
  <c r="AL684" i="1"/>
  <c r="AR684" i="1" s="1"/>
  <c r="Z684" i="1"/>
  <c r="Q684" i="1"/>
  <c r="S691" i="1" s="1"/>
  <c r="N684" i="1"/>
  <c r="BE683" i="1"/>
  <c r="CC683" i="1" s="1"/>
  <c r="BA683" i="1"/>
  <c r="CA683" i="1" s="1"/>
  <c r="AL683" i="1"/>
  <c r="Z683" i="1"/>
  <c r="Q683" i="1"/>
  <c r="S690" i="1" s="1"/>
  <c r="N683" i="1"/>
  <c r="BE682" i="1"/>
  <c r="CC682" i="1" s="1"/>
  <c r="BA682" i="1"/>
  <c r="CA682" i="1" s="1"/>
  <c r="AL682" i="1"/>
  <c r="AR682" i="1" s="1"/>
  <c r="Z682" i="1"/>
  <c r="Q682" i="1"/>
  <c r="S689" i="1" s="1"/>
  <c r="N682" i="1"/>
  <c r="BE681" i="1"/>
  <c r="CC681" i="1" s="1"/>
  <c r="BA681" i="1"/>
  <c r="CA681" i="1" s="1"/>
  <c r="AL681" i="1"/>
  <c r="Z681" i="1"/>
  <c r="Q681" i="1"/>
  <c r="S688" i="1" s="1"/>
  <c r="N681" i="1"/>
  <c r="BE680" i="1"/>
  <c r="CC680" i="1" s="1"/>
  <c r="BA680" i="1"/>
  <c r="CA680" i="1" s="1"/>
  <c r="AL680" i="1"/>
  <c r="AR680" i="1" s="1"/>
  <c r="Z680" i="1"/>
  <c r="Q680" i="1"/>
  <c r="S687" i="1" s="1"/>
  <c r="N680" i="1"/>
  <c r="BE679" i="1"/>
  <c r="CC679" i="1" s="1"/>
  <c r="BA679" i="1"/>
  <c r="CA679" i="1" s="1"/>
  <c r="AL679" i="1"/>
  <c r="AR679" i="1" s="1"/>
  <c r="Z679" i="1"/>
  <c r="Q679" i="1"/>
  <c r="S686" i="1" s="1"/>
  <c r="N679" i="1"/>
  <c r="BE678" i="1"/>
  <c r="CC678" i="1" s="1"/>
  <c r="BA678" i="1"/>
  <c r="CA678" i="1" s="1"/>
  <c r="AL678" i="1"/>
  <c r="AR678" i="1" s="1"/>
  <c r="Z678" i="1"/>
  <c r="Q678" i="1"/>
  <c r="S685" i="1" s="1"/>
  <c r="N678" i="1"/>
  <c r="S692" i="2"/>
  <c r="K692" i="2"/>
  <c r="S691" i="2"/>
  <c r="K691" i="2"/>
  <c r="S690" i="2"/>
  <c r="K690" i="2"/>
  <c r="S689" i="2"/>
  <c r="K689" i="2"/>
  <c r="S688" i="2"/>
  <c r="K688" i="2"/>
  <c r="S687" i="2"/>
  <c r="K687" i="2"/>
  <c r="S686" i="2"/>
  <c r="K686" i="2"/>
  <c r="S685" i="2"/>
  <c r="K685" i="2"/>
  <c r="S684" i="2"/>
  <c r="K684" i="2"/>
  <c r="S683" i="2"/>
  <c r="K683" i="2"/>
  <c r="S682" i="2"/>
  <c r="K682" i="2"/>
  <c r="S681" i="2"/>
  <c r="K681" i="2"/>
  <c r="S680" i="2"/>
  <c r="K680" i="2"/>
  <c r="S679" i="2"/>
  <c r="K679" i="2"/>
  <c r="CA684" i="1" l="1"/>
  <c r="CG684" i="1" s="1"/>
  <c r="BY690" i="1"/>
  <c r="BY769" i="1" s="1"/>
  <c r="BY832" i="1" s="1"/>
  <c r="CG681" i="1"/>
  <c r="Q690" i="2"/>
  <c r="CG678" i="1"/>
  <c r="CG682" i="1"/>
  <c r="CG683" i="1"/>
  <c r="CG679" i="1"/>
  <c r="CG680" i="1"/>
  <c r="Q693" i="2"/>
  <c r="M693" i="2"/>
  <c r="Q691" i="2"/>
  <c r="Q689" i="2"/>
  <c r="M686" i="2"/>
  <c r="Q692" i="2"/>
  <c r="Q682" i="2"/>
  <c r="M692" i="2"/>
  <c r="Q685" i="2"/>
  <c r="Q688" i="2"/>
  <c r="BG684" i="1"/>
  <c r="BG682" i="1"/>
  <c r="AR683" i="1"/>
  <c r="BG683" i="1"/>
  <c r="AR681" i="1"/>
  <c r="BG681" i="1"/>
  <c r="BG680" i="1"/>
  <c r="BG679" i="1"/>
  <c r="BG678" i="1"/>
  <c r="M691" i="2"/>
  <c r="M690" i="2"/>
  <c r="M689" i="2"/>
  <c r="M688" i="2"/>
  <c r="M684" i="2"/>
  <c r="Q687" i="2"/>
  <c r="M687" i="2"/>
  <c r="Q686" i="2"/>
  <c r="M685" i="2"/>
  <c r="Q684" i="2"/>
  <c r="Q683" i="2"/>
  <c r="Q680" i="2"/>
  <c r="Q681" i="2"/>
  <c r="M683" i="2"/>
  <c r="M682" i="2"/>
  <c r="M681" i="2"/>
  <c r="M680" i="2"/>
  <c r="BE677" i="1"/>
  <c r="CC677" i="1" s="1"/>
  <c r="BA677" i="1"/>
  <c r="CA677" i="1" s="1"/>
  <c r="AL677" i="1"/>
  <c r="AR677" i="1" s="1"/>
  <c r="Z677" i="1"/>
  <c r="Q677" i="1"/>
  <c r="S684" i="1" s="1"/>
  <c r="N677" i="1"/>
  <c r="BE676" i="1"/>
  <c r="CC676" i="1" s="1"/>
  <c r="BA676" i="1"/>
  <c r="CA676" i="1" s="1"/>
  <c r="AL676" i="1"/>
  <c r="AR676" i="1" s="1"/>
  <c r="Z676" i="1"/>
  <c r="Q676" i="1"/>
  <c r="S683" i="1" s="1"/>
  <c r="N676" i="1"/>
  <c r="BE675" i="1"/>
  <c r="CC675" i="1" s="1"/>
  <c r="BA675" i="1"/>
  <c r="CA675" i="1" s="1"/>
  <c r="AL675" i="1"/>
  <c r="AR675" i="1" s="1"/>
  <c r="Z675" i="1"/>
  <c r="Q675" i="1"/>
  <c r="N675" i="1"/>
  <c r="BE674" i="1"/>
  <c r="CC674" i="1" s="1"/>
  <c r="BA674" i="1"/>
  <c r="CA674" i="1" s="1"/>
  <c r="AL674" i="1"/>
  <c r="AR674" i="1" s="1"/>
  <c r="Z674" i="1"/>
  <c r="Q674" i="1"/>
  <c r="S681" i="1" s="1"/>
  <c r="N674" i="1"/>
  <c r="BE673" i="1"/>
  <c r="CC673" i="1" s="1"/>
  <c r="BA673" i="1"/>
  <c r="CA673" i="1" s="1"/>
  <c r="AL673" i="1"/>
  <c r="AR673" i="1" s="1"/>
  <c r="Z673" i="1"/>
  <c r="Q673" i="1"/>
  <c r="S680" i="1" s="1"/>
  <c r="N673" i="1"/>
  <c r="BE672" i="1"/>
  <c r="CC672" i="1" s="1"/>
  <c r="BA672" i="1"/>
  <c r="CA672" i="1" s="1"/>
  <c r="AL672" i="1"/>
  <c r="Z672" i="1"/>
  <c r="Q672" i="1"/>
  <c r="S679" i="1" s="1"/>
  <c r="N672" i="1"/>
  <c r="BE671" i="1"/>
  <c r="CC671" i="1" s="1"/>
  <c r="BA671" i="1"/>
  <c r="CA671" i="1" s="1"/>
  <c r="AL671" i="1"/>
  <c r="AR671" i="1" s="1"/>
  <c r="Z671" i="1"/>
  <c r="Q671" i="1"/>
  <c r="S678" i="1" s="1"/>
  <c r="N671" i="1"/>
  <c r="BE670" i="1"/>
  <c r="CC670" i="1" s="1"/>
  <c r="BA670" i="1"/>
  <c r="CA670" i="1" s="1"/>
  <c r="AL670" i="1"/>
  <c r="AR670" i="1" s="1"/>
  <c r="Z670" i="1"/>
  <c r="Q670" i="1"/>
  <c r="N670" i="1"/>
  <c r="BE669" i="1"/>
  <c r="CC669" i="1" s="1"/>
  <c r="BA669" i="1"/>
  <c r="CA669" i="1" s="1"/>
  <c r="AL669" i="1"/>
  <c r="AR669" i="1" s="1"/>
  <c r="Z669" i="1"/>
  <c r="Q669" i="1"/>
  <c r="N669" i="1"/>
  <c r="BE668" i="1"/>
  <c r="CC668" i="1" s="1"/>
  <c r="BA668" i="1"/>
  <c r="CA668" i="1" s="1"/>
  <c r="AL668" i="1"/>
  <c r="AR668" i="1" s="1"/>
  <c r="Z668" i="1"/>
  <c r="Q668" i="1"/>
  <c r="N668" i="1"/>
  <c r="BE667" i="1"/>
  <c r="CC667" i="1" s="1"/>
  <c r="BA667" i="1"/>
  <c r="CA667" i="1" s="1"/>
  <c r="AL667" i="1"/>
  <c r="AR667" i="1" s="1"/>
  <c r="Z667" i="1"/>
  <c r="Q667" i="1"/>
  <c r="N667" i="1"/>
  <c r="BE666" i="1"/>
  <c r="CC666" i="1" s="1"/>
  <c r="BA666" i="1"/>
  <c r="CA666" i="1" s="1"/>
  <c r="AL666" i="1"/>
  <c r="AR666" i="1" s="1"/>
  <c r="Z666" i="1"/>
  <c r="Q666" i="1"/>
  <c r="N666" i="1"/>
  <c r="BE665" i="1"/>
  <c r="CC665" i="1" s="1"/>
  <c r="BA665" i="1"/>
  <c r="CA665" i="1" s="1"/>
  <c r="AL665" i="1"/>
  <c r="AR665" i="1" s="1"/>
  <c r="Z665" i="1"/>
  <c r="Q665" i="1"/>
  <c r="N665" i="1"/>
  <c r="BE664" i="1"/>
  <c r="CC664" i="1" s="1"/>
  <c r="BA664" i="1"/>
  <c r="CA664" i="1" s="1"/>
  <c r="AL664" i="1"/>
  <c r="AR664" i="1" s="1"/>
  <c r="Z664" i="1"/>
  <c r="Q664" i="1"/>
  <c r="N664" i="1"/>
  <c r="BE663" i="1"/>
  <c r="CC663" i="1" s="1"/>
  <c r="BA663" i="1"/>
  <c r="CA663" i="1" s="1"/>
  <c r="AL663" i="1"/>
  <c r="AR663" i="1" s="1"/>
  <c r="Z663" i="1"/>
  <c r="Q663" i="1"/>
  <c r="N663" i="1"/>
  <c r="BE662" i="1"/>
  <c r="CC662" i="1" s="1"/>
  <c r="BA662" i="1"/>
  <c r="CA662" i="1" s="1"/>
  <c r="AL662" i="1"/>
  <c r="AR662" i="1" s="1"/>
  <c r="Z662" i="1"/>
  <c r="Q662" i="1"/>
  <c r="N662" i="1"/>
  <c r="S678" i="2"/>
  <c r="K678" i="2"/>
  <c r="M679" i="2" s="1"/>
  <c r="S677" i="2"/>
  <c r="K677" i="2"/>
  <c r="S675" i="2"/>
  <c r="S676" i="2"/>
  <c r="K676" i="2"/>
  <c r="K675" i="2"/>
  <c r="S674" i="2"/>
  <c r="K674" i="2"/>
  <c r="S673" i="2"/>
  <c r="K673" i="2"/>
  <c r="S672" i="2"/>
  <c r="K672" i="2"/>
  <c r="S671" i="2"/>
  <c r="K671" i="2"/>
  <c r="S670" i="2"/>
  <c r="K670" i="2"/>
  <c r="S669" i="2"/>
  <c r="K669" i="2"/>
  <c r="S668" i="2"/>
  <c r="K668" i="2"/>
  <c r="S667" i="2"/>
  <c r="K667" i="2"/>
  <c r="S666" i="2"/>
  <c r="K666" i="2"/>
  <c r="S665" i="2"/>
  <c r="K665" i="2"/>
  <c r="S664" i="2"/>
  <c r="K664" i="2"/>
  <c r="S663" i="2"/>
  <c r="K663" i="2"/>
  <c r="BE661" i="1"/>
  <c r="BA661" i="1"/>
  <c r="AL661" i="1"/>
  <c r="AR661" i="1" s="1"/>
  <c r="Z661" i="1"/>
  <c r="Q661" i="1"/>
  <c r="N661" i="1"/>
  <c r="BE660" i="1"/>
  <c r="BA660" i="1"/>
  <c r="AL660" i="1"/>
  <c r="AR660" i="1" s="1"/>
  <c r="Z660" i="1"/>
  <c r="Q660" i="1"/>
  <c r="N660" i="1"/>
  <c r="BE659" i="1"/>
  <c r="BA659" i="1"/>
  <c r="AL659" i="1"/>
  <c r="AR659" i="1" s="1"/>
  <c r="Z659" i="1"/>
  <c r="Q659" i="1"/>
  <c r="N659" i="1"/>
  <c r="BE658" i="1"/>
  <c r="BA658" i="1"/>
  <c r="AL658" i="1"/>
  <c r="AR658" i="1" s="1"/>
  <c r="Z658" i="1"/>
  <c r="Q658" i="1"/>
  <c r="N658" i="1"/>
  <c r="BE657" i="1"/>
  <c r="BA657" i="1"/>
  <c r="AL657" i="1"/>
  <c r="AR657" i="1" s="1"/>
  <c r="Z657" i="1"/>
  <c r="Q657" i="1"/>
  <c r="N657" i="1"/>
  <c r="S662" i="2"/>
  <c r="K662" i="2"/>
  <c r="S661" i="2"/>
  <c r="K661" i="2"/>
  <c r="S660" i="2"/>
  <c r="K660" i="2"/>
  <c r="S659" i="2"/>
  <c r="K659" i="2"/>
  <c r="S658" i="2"/>
  <c r="K658" i="2"/>
  <c r="BA950" i="1"/>
  <c r="BE656" i="1"/>
  <c r="BA656" i="1"/>
  <c r="AL656" i="1"/>
  <c r="AR656" i="1" s="1"/>
  <c r="Z656" i="1"/>
  <c r="Q656" i="1"/>
  <c r="N656" i="1"/>
  <c r="BE655" i="1"/>
  <c r="BA655" i="1"/>
  <c r="AL655" i="1"/>
  <c r="Z655" i="1"/>
  <c r="Q655" i="1"/>
  <c r="N655" i="1"/>
  <c r="BE654" i="1"/>
  <c r="BA654" i="1"/>
  <c r="AL654" i="1"/>
  <c r="AR654" i="1" s="1"/>
  <c r="Z654" i="1"/>
  <c r="Q654" i="1"/>
  <c r="N654" i="1"/>
  <c r="BE653" i="1"/>
  <c r="BA653" i="1"/>
  <c r="AL653" i="1"/>
  <c r="AR653" i="1" s="1"/>
  <c r="Z653" i="1"/>
  <c r="Q653" i="1"/>
  <c r="N653" i="1"/>
  <c r="BE652" i="1"/>
  <c r="BA652" i="1"/>
  <c r="AL652" i="1"/>
  <c r="Z652" i="1"/>
  <c r="Q652" i="1"/>
  <c r="N652" i="1"/>
  <c r="BE651" i="1"/>
  <c r="BA651" i="1"/>
  <c r="AL651" i="1"/>
  <c r="AR651" i="1" s="1"/>
  <c r="Z651" i="1"/>
  <c r="Q651" i="1"/>
  <c r="N651" i="1"/>
  <c r="BE650" i="1"/>
  <c r="BA650" i="1"/>
  <c r="AL650" i="1"/>
  <c r="AR650" i="1" s="1"/>
  <c r="Z650" i="1"/>
  <c r="Q650" i="1"/>
  <c r="N650" i="1"/>
  <c r="S657" i="2"/>
  <c r="K657" i="2"/>
  <c r="S655" i="2"/>
  <c r="S656" i="2"/>
  <c r="K656" i="2"/>
  <c r="K655" i="2"/>
  <c r="S654" i="2"/>
  <c r="K654" i="2"/>
  <c r="S653" i="2"/>
  <c r="K653" i="2"/>
  <c r="S652" i="2"/>
  <c r="K652" i="2"/>
  <c r="S651" i="2"/>
  <c r="K651" i="2"/>
  <c r="CG669" i="1" l="1"/>
  <c r="CG677" i="1"/>
  <c r="CG663" i="1"/>
  <c r="CG667" i="1"/>
  <c r="CG671" i="1"/>
  <c r="CG675" i="1"/>
  <c r="CG666" i="1"/>
  <c r="CG670" i="1"/>
  <c r="CG674" i="1"/>
  <c r="CG672" i="1"/>
  <c r="CG664" i="1"/>
  <c r="CG668" i="1"/>
  <c r="CG676" i="1"/>
  <c r="CA693" i="1"/>
  <c r="CC693" i="1"/>
  <c r="CG662" i="1"/>
  <c r="CG665" i="1"/>
  <c r="CG673" i="1"/>
  <c r="S675" i="1"/>
  <c r="S682" i="1"/>
  <c r="S677" i="1"/>
  <c r="BG677" i="1"/>
  <c r="S676" i="1"/>
  <c r="S674" i="1"/>
  <c r="Q679" i="2"/>
  <c r="M674" i="2"/>
  <c r="Q678" i="2"/>
  <c r="Q668" i="2"/>
  <c r="Q672" i="2"/>
  <c r="M664" i="2"/>
  <c r="Q676" i="2"/>
  <c r="Q677" i="2"/>
  <c r="BG676" i="1"/>
  <c r="BG675" i="1"/>
  <c r="S673" i="1"/>
  <c r="S671" i="1"/>
  <c r="BG674" i="1"/>
  <c r="BG673" i="1"/>
  <c r="AR672" i="1"/>
  <c r="S670" i="1"/>
  <c r="S672" i="1"/>
  <c r="S668" i="1"/>
  <c r="S669" i="1"/>
  <c r="BG672" i="1"/>
  <c r="BG671" i="1"/>
  <c r="BG670" i="1"/>
  <c r="BG669" i="1"/>
  <c r="S665" i="1"/>
  <c r="S667" i="1"/>
  <c r="S663" i="1"/>
  <c r="S666" i="1"/>
  <c r="BG668" i="1"/>
  <c r="BG667" i="1"/>
  <c r="BG666" i="1"/>
  <c r="BG665" i="1"/>
  <c r="S659" i="1"/>
  <c r="BG662" i="1"/>
  <c r="S662" i="1"/>
  <c r="S664" i="1"/>
  <c r="BG659" i="1"/>
  <c r="S660" i="1"/>
  <c r="BG664" i="1"/>
  <c r="BG663" i="1"/>
  <c r="S661" i="1"/>
  <c r="M678" i="2"/>
  <c r="M677" i="2"/>
  <c r="M676" i="2"/>
  <c r="Q674" i="2"/>
  <c r="Q669" i="2"/>
  <c r="Q675" i="2"/>
  <c r="M675" i="2"/>
  <c r="Q673" i="2"/>
  <c r="M673" i="2"/>
  <c r="M672" i="2"/>
  <c r="Q663" i="2"/>
  <c r="Q670" i="2"/>
  <c r="Q665" i="2"/>
  <c r="Q671" i="2"/>
  <c r="M671" i="2"/>
  <c r="M670" i="2"/>
  <c r="M669" i="2"/>
  <c r="M668" i="2"/>
  <c r="Q660" i="2"/>
  <c r="Q666" i="2"/>
  <c r="Q664" i="2"/>
  <c r="Q667" i="2"/>
  <c r="M667" i="2"/>
  <c r="M666" i="2"/>
  <c r="M665" i="2"/>
  <c r="M663" i="2"/>
  <c r="M659" i="2"/>
  <c r="BG661" i="1"/>
  <c r="BG660" i="1"/>
  <c r="S658" i="1"/>
  <c r="BG658" i="1"/>
  <c r="S657" i="1"/>
  <c r="BG657" i="1"/>
  <c r="Q662" i="2"/>
  <c r="M662" i="2"/>
  <c r="Q661" i="2"/>
  <c r="M661" i="2"/>
  <c r="M660" i="2"/>
  <c r="Q652" i="2"/>
  <c r="Q659" i="2"/>
  <c r="Q658" i="2"/>
  <c r="Q657" i="2"/>
  <c r="Q654" i="2"/>
  <c r="M658" i="2"/>
  <c r="BG656" i="1"/>
  <c r="AR655" i="1"/>
  <c r="BG655" i="1"/>
  <c r="BG654" i="1"/>
  <c r="BG653" i="1"/>
  <c r="AR652" i="1"/>
  <c r="BG652" i="1"/>
  <c r="BG651" i="1"/>
  <c r="BG650" i="1"/>
  <c r="M657" i="2"/>
  <c r="Q655" i="2"/>
  <c r="Q653" i="2"/>
  <c r="M656" i="2"/>
  <c r="Q656" i="2"/>
  <c r="M655" i="2"/>
  <c r="M654" i="2"/>
  <c r="M653" i="2"/>
  <c r="M652" i="2"/>
  <c r="CG693" i="1" l="1"/>
  <c r="BE649" i="1"/>
  <c r="BA649" i="1"/>
  <c r="AL649" i="1"/>
  <c r="AR649" i="1" s="1"/>
  <c r="Z649" i="1"/>
  <c r="Q649" i="1"/>
  <c r="S656" i="1" s="1"/>
  <c r="N649" i="1"/>
  <c r="BE648" i="1"/>
  <c r="BA648" i="1"/>
  <c r="AL648" i="1"/>
  <c r="AR648" i="1" s="1"/>
  <c r="Z648" i="1"/>
  <c r="Q648" i="1"/>
  <c r="S655" i="1" s="1"/>
  <c r="N648" i="1"/>
  <c r="BE647" i="1"/>
  <c r="BA647" i="1"/>
  <c r="AL647" i="1"/>
  <c r="AR647" i="1" s="1"/>
  <c r="Z647" i="1"/>
  <c r="Q647" i="1"/>
  <c r="S654" i="1" s="1"/>
  <c r="N647" i="1"/>
  <c r="BE646" i="1"/>
  <c r="BA646" i="1"/>
  <c r="AL646" i="1"/>
  <c r="AR646" i="1" s="1"/>
  <c r="Z646" i="1"/>
  <c r="Q646" i="1"/>
  <c r="S653" i="1" s="1"/>
  <c r="N646" i="1"/>
  <c r="AA600" i="3"/>
  <c r="BE645" i="1"/>
  <c r="BA645" i="1"/>
  <c r="AL645" i="1"/>
  <c r="AR645" i="1" s="1"/>
  <c r="Z645" i="1"/>
  <c r="Q645" i="1"/>
  <c r="S652" i="1" s="1"/>
  <c r="N645" i="1"/>
  <c r="BE644" i="1"/>
  <c r="BA644" i="1"/>
  <c r="AL644" i="1"/>
  <c r="AR644" i="1" s="1"/>
  <c r="Z644" i="1"/>
  <c r="Q644" i="1"/>
  <c r="S651" i="1" s="1"/>
  <c r="N644" i="1"/>
  <c r="BE643" i="1"/>
  <c r="BA643" i="1"/>
  <c r="AL643" i="1"/>
  <c r="AR643" i="1" s="1"/>
  <c r="Z643" i="1"/>
  <c r="Q643" i="1"/>
  <c r="S650" i="1" s="1"/>
  <c r="N643" i="1"/>
  <c r="AA597" i="3"/>
  <c r="S650" i="2"/>
  <c r="K650" i="2"/>
  <c r="S649" i="2"/>
  <c r="K649" i="2"/>
  <c r="S648" i="2"/>
  <c r="K648" i="2"/>
  <c r="S647" i="2"/>
  <c r="K647" i="2"/>
  <c r="S646" i="2"/>
  <c r="K646" i="2"/>
  <c r="S645" i="2"/>
  <c r="K645" i="2"/>
  <c r="S644" i="2"/>
  <c r="K644" i="2"/>
  <c r="BE642" i="1"/>
  <c r="BA642" i="1"/>
  <c r="AL642" i="1"/>
  <c r="AR642" i="1" s="1"/>
  <c r="Z642" i="1"/>
  <c r="Q642" i="1"/>
  <c r="N642" i="1"/>
  <c r="BE641" i="1"/>
  <c r="BA641" i="1"/>
  <c r="AL641" i="1"/>
  <c r="AR641" i="1" s="1"/>
  <c r="Z641" i="1"/>
  <c r="Q641" i="1"/>
  <c r="N641" i="1"/>
  <c r="BE640" i="1"/>
  <c r="BA640" i="1"/>
  <c r="AL640" i="1"/>
  <c r="AR640" i="1" s="1"/>
  <c r="Z640" i="1"/>
  <c r="Q640" i="1"/>
  <c r="N640" i="1"/>
  <c r="BE639" i="1"/>
  <c r="BA639" i="1"/>
  <c r="AL639" i="1"/>
  <c r="AR639" i="1" s="1"/>
  <c r="Z639" i="1"/>
  <c r="Q639" i="1"/>
  <c r="N639" i="1"/>
  <c r="BE638" i="1"/>
  <c r="BA638" i="1"/>
  <c r="AL638" i="1"/>
  <c r="Z638" i="1"/>
  <c r="Q638" i="1"/>
  <c r="N638" i="1"/>
  <c r="BE637" i="1"/>
  <c r="BA637" i="1"/>
  <c r="AL637" i="1"/>
  <c r="AR637" i="1" s="1"/>
  <c r="Z637" i="1"/>
  <c r="Q637" i="1"/>
  <c r="N637" i="1"/>
  <c r="BE636" i="1"/>
  <c r="BA636" i="1"/>
  <c r="AL636" i="1"/>
  <c r="AR636" i="1" s="1"/>
  <c r="Z636" i="1"/>
  <c r="Q636" i="1"/>
  <c r="N636" i="1"/>
  <c r="S643" i="2"/>
  <c r="K643" i="2"/>
  <c r="S642" i="2"/>
  <c r="K642" i="2"/>
  <c r="S641" i="2"/>
  <c r="K641" i="2"/>
  <c r="S640" i="2"/>
  <c r="K640" i="2"/>
  <c r="S639" i="2"/>
  <c r="K639" i="2"/>
  <c r="S638" i="2"/>
  <c r="K638" i="2"/>
  <c r="S637" i="2"/>
  <c r="K637" i="2"/>
  <c r="S636" i="2"/>
  <c r="K636" i="2"/>
  <c r="BE635" i="1"/>
  <c r="BA635" i="1"/>
  <c r="AL635" i="1"/>
  <c r="AR635" i="1" s="1"/>
  <c r="Z635" i="1"/>
  <c r="Q635" i="1"/>
  <c r="N635" i="1"/>
  <c r="BE634" i="1"/>
  <c r="BA634" i="1"/>
  <c r="AL634" i="1"/>
  <c r="AR634" i="1" s="1"/>
  <c r="Z634" i="1"/>
  <c r="Q634" i="1"/>
  <c r="N634" i="1"/>
  <c r="BE633" i="1"/>
  <c r="BA633" i="1"/>
  <c r="AL633" i="1"/>
  <c r="AR633" i="1" s="1"/>
  <c r="Z633" i="1"/>
  <c r="Q633" i="1"/>
  <c r="N633" i="1"/>
  <c r="BE632" i="1"/>
  <c r="BA632" i="1"/>
  <c r="AL632" i="1"/>
  <c r="AR632" i="1" s="1"/>
  <c r="Z632" i="1"/>
  <c r="Q632" i="1"/>
  <c r="N632" i="1"/>
  <c r="BE631" i="1"/>
  <c r="BA631" i="1"/>
  <c r="AL631" i="1"/>
  <c r="AR631" i="1" s="1"/>
  <c r="Z631" i="1"/>
  <c r="Q631" i="1"/>
  <c r="N631" i="1"/>
  <c r="BE630" i="1"/>
  <c r="BA630" i="1"/>
  <c r="AL630" i="1"/>
  <c r="AR630" i="1" s="1"/>
  <c r="Z630" i="1"/>
  <c r="Q630" i="1"/>
  <c r="N630" i="1"/>
  <c r="BE629" i="1"/>
  <c r="BA629" i="1"/>
  <c r="AL629" i="1"/>
  <c r="AR629" i="1" s="1"/>
  <c r="Z629" i="1"/>
  <c r="Q629" i="1"/>
  <c r="N629" i="1"/>
  <c r="S635" i="2"/>
  <c r="K635" i="2"/>
  <c r="S634" i="2"/>
  <c r="K634" i="2"/>
  <c r="S633" i="2"/>
  <c r="K633" i="2"/>
  <c r="S632" i="2"/>
  <c r="K632" i="2"/>
  <c r="S631" i="2"/>
  <c r="K631" i="2"/>
  <c r="S630" i="2"/>
  <c r="K630" i="2"/>
  <c r="BG637" i="1" l="1"/>
  <c r="BG632" i="1"/>
  <c r="Q649" i="2"/>
  <c r="Q642" i="2"/>
  <c r="BG645" i="1"/>
  <c r="S646" i="1"/>
  <c r="S645" i="1"/>
  <c r="S648" i="1"/>
  <c r="S644" i="1"/>
  <c r="S647" i="1"/>
  <c r="S638" i="1"/>
  <c r="S649" i="1"/>
  <c r="Q651" i="2"/>
  <c r="M651" i="2"/>
  <c r="M650" i="2"/>
  <c r="Q650" i="2"/>
  <c r="Q637" i="2"/>
  <c r="Q648" i="2"/>
  <c r="BG649" i="1"/>
  <c r="BG648" i="1"/>
  <c r="BG647" i="1"/>
  <c r="BG646" i="1"/>
  <c r="BG644" i="1"/>
  <c r="S639" i="1"/>
  <c r="S643" i="1"/>
  <c r="S642" i="1"/>
  <c r="BG643" i="1"/>
  <c r="M642" i="2"/>
  <c r="Q646" i="2"/>
  <c r="M640" i="2"/>
  <c r="M644" i="2"/>
  <c r="M649" i="2"/>
  <c r="Q634" i="2"/>
  <c r="Q647" i="2"/>
  <c r="M648" i="2"/>
  <c r="M647" i="2"/>
  <c r="M646" i="2"/>
  <c r="Q645" i="2"/>
  <c r="M645" i="2"/>
  <c r="Q644" i="2"/>
  <c r="M641" i="2"/>
  <c r="Q643" i="2"/>
  <c r="Q641" i="2"/>
  <c r="M639" i="2"/>
  <c r="BG642" i="1"/>
  <c r="S637" i="1"/>
  <c r="S641" i="1"/>
  <c r="BG639" i="1"/>
  <c r="S640" i="1"/>
  <c r="S636" i="1"/>
  <c r="BG641" i="1"/>
  <c r="BG640" i="1"/>
  <c r="AR638" i="1"/>
  <c r="BG638" i="1"/>
  <c r="BG636" i="1"/>
  <c r="M643" i="2"/>
  <c r="Q640" i="2"/>
  <c r="Q638" i="2"/>
  <c r="Q636" i="2"/>
  <c r="M636" i="2"/>
  <c r="Q639" i="2"/>
  <c r="M638" i="2"/>
  <c r="M637" i="2"/>
  <c r="M632" i="2"/>
  <c r="Q635" i="2"/>
  <c r="Q633" i="2"/>
  <c r="BG635" i="1"/>
  <c r="BG629" i="1"/>
  <c r="BG634" i="1"/>
  <c r="BG633" i="1"/>
  <c r="BG631" i="1"/>
  <c r="BG630" i="1"/>
  <c r="M635" i="2"/>
  <c r="M634" i="2"/>
  <c r="M633" i="2"/>
  <c r="Q632" i="2"/>
  <c r="Q631" i="2"/>
  <c r="M631" i="2"/>
  <c r="BE628" i="1" l="1"/>
  <c r="BA628" i="1"/>
  <c r="AL628" i="1"/>
  <c r="Z628" i="1"/>
  <c r="Q628" i="1"/>
  <c r="S635" i="1" s="1"/>
  <c r="N628" i="1"/>
  <c r="BE627" i="1"/>
  <c r="BA627" i="1"/>
  <c r="AL627" i="1"/>
  <c r="AR627" i="1" s="1"/>
  <c r="Z627" i="1"/>
  <c r="Q627" i="1"/>
  <c r="S634" i="1" s="1"/>
  <c r="N627" i="1"/>
  <c r="BE626" i="1"/>
  <c r="BA626" i="1"/>
  <c r="AL626" i="1"/>
  <c r="AR626" i="1" s="1"/>
  <c r="Z626" i="1"/>
  <c r="Q626" i="1"/>
  <c r="S633" i="1" s="1"/>
  <c r="N626" i="1"/>
  <c r="BE625" i="1"/>
  <c r="BA625" i="1"/>
  <c r="AL625" i="1"/>
  <c r="AR625" i="1" s="1"/>
  <c r="Z625" i="1"/>
  <c r="Q625" i="1"/>
  <c r="S632" i="1" s="1"/>
  <c r="N625" i="1"/>
  <c r="BE624" i="1"/>
  <c r="BA624" i="1"/>
  <c r="AL624" i="1"/>
  <c r="AR624" i="1" s="1"/>
  <c r="Z624" i="1"/>
  <c r="Q624" i="1"/>
  <c r="S631" i="1" s="1"/>
  <c r="N624" i="1"/>
  <c r="BE623" i="1"/>
  <c r="BA623" i="1"/>
  <c r="AL623" i="1"/>
  <c r="AR623" i="1" s="1"/>
  <c r="Z623" i="1"/>
  <c r="Q623" i="1"/>
  <c r="N623" i="1"/>
  <c r="BG626" i="1" l="1"/>
  <c r="BG623" i="1"/>
  <c r="AR628" i="1"/>
  <c r="BG628" i="1"/>
  <c r="S630" i="1"/>
  <c r="BG627" i="1"/>
  <c r="BG625" i="1"/>
  <c r="BG624" i="1"/>
  <c r="BE622" i="1"/>
  <c r="BA622" i="1"/>
  <c r="AL622" i="1"/>
  <c r="AR622" i="1" s="1"/>
  <c r="Z622" i="1"/>
  <c r="Q622" i="1"/>
  <c r="S629" i="1" s="1"/>
  <c r="N622" i="1"/>
  <c r="S629" i="2"/>
  <c r="K629" i="2"/>
  <c r="S628" i="2"/>
  <c r="K628" i="2"/>
  <c r="S627" i="2"/>
  <c r="K627" i="2"/>
  <c r="S626" i="2"/>
  <c r="K626" i="2"/>
  <c r="S625" i="2"/>
  <c r="K625" i="2"/>
  <c r="S624" i="2"/>
  <c r="K624" i="2"/>
  <c r="S623" i="2"/>
  <c r="K623" i="2"/>
  <c r="Q624" i="2" l="1"/>
  <c r="Q626" i="2"/>
  <c r="Q629" i="2"/>
  <c r="Q630" i="2"/>
  <c r="M630" i="2"/>
  <c r="M627" i="2"/>
  <c r="BG622" i="1"/>
  <c r="M629" i="2"/>
  <c r="Q625" i="2"/>
  <c r="M628" i="2"/>
  <c r="Q628" i="2"/>
  <c r="Q627" i="2"/>
  <c r="M626" i="2"/>
  <c r="M625" i="2"/>
  <c r="M624" i="2"/>
  <c r="BE621" i="1" l="1"/>
  <c r="BA621" i="1"/>
  <c r="AL621" i="1"/>
  <c r="AR621" i="1" s="1"/>
  <c r="Z621" i="1"/>
  <c r="Q621" i="1"/>
  <c r="S628" i="1" s="1"/>
  <c r="N621" i="1"/>
  <c r="BE620" i="1"/>
  <c r="BA620" i="1"/>
  <c r="AL620" i="1"/>
  <c r="Z620" i="1"/>
  <c r="Q620" i="1"/>
  <c r="S627" i="1" s="1"/>
  <c r="N620" i="1"/>
  <c r="S622" i="2"/>
  <c r="K622" i="2"/>
  <c r="S621" i="2"/>
  <c r="K621" i="2"/>
  <c r="Q622" i="2" l="1"/>
  <c r="M623" i="2"/>
  <c r="Q623" i="2"/>
  <c r="BG621" i="1"/>
  <c r="AR620" i="1"/>
  <c r="BG620" i="1"/>
  <c r="M622" i="2"/>
  <c r="BE619" i="1"/>
  <c r="BA619" i="1"/>
  <c r="AL619" i="1"/>
  <c r="Z619" i="1"/>
  <c r="Q619" i="1"/>
  <c r="S626" i="1" s="1"/>
  <c r="N619" i="1"/>
  <c r="BE618" i="1"/>
  <c r="BA618" i="1"/>
  <c r="AL618" i="1"/>
  <c r="AR618" i="1" s="1"/>
  <c r="Z618" i="1"/>
  <c r="Q618" i="1"/>
  <c r="S625" i="1" s="1"/>
  <c r="N618" i="1"/>
  <c r="BE617" i="1"/>
  <c r="BA617" i="1"/>
  <c r="AL617" i="1"/>
  <c r="AR617" i="1" s="1"/>
  <c r="Z617" i="1"/>
  <c r="Q617" i="1"/>
  <c r="S624" i="1" s="1"/>
  <c r="N617" i="1"/>
  <c r="BE616" i="1"/>
  <c r="BA616" i="1"/>
  <c r="AL616" i="1"/>
  <c r="AR616" i="1" s="1"/>
  <c r="Z616" i="1"/>
  <c r="Q616" i="1"/>
  <c r="S623" i="1" s="1"/>
  <c r="N616" i="1"/>
  <c r="S620" i="2"/>
  <c r="K620" i="2"/>
  <c r="M621" i="2" s="1"/>
  <c r="S619" i="2"/>
  <c r="K619" i="2"/>
  <c r="S618" i="2"/>
  <c r="K618" i="2"/>
  <c r="S617" i="2"/>
  <c r="K617" i="2"/>
  <c r="Q620" i="2" l="1"/>
  <c r="Q621" i="2"/>
  <c r="Q618" i="2"/>
  <c r="Q619" i="2"/>
  <c r="AR619" i="1"/>
  <c r="BG619" i="1"/>
  <c r="BG618" i="1"/>
  <c r="BG617" i="1"/>
  <c r="BG616" i="1"/>
  <c r="M620" i="2"/>
  <c r="M619" i="2"/>
  <c r="M618" i="2"/>
  <c r="BE615" i="1" l="1"/>
  <c r="BA615" i="1"/>
  <c r="AL615" i="1"/>
  <c r="AR615" i="1" s="1"/>
  <c r="Z615" i="1"/>
  <c r="Q615" i="1"/>
  <c r="S622" i="1" s="1"/>
  <c r="N615" i="1"/>
  <c r="S616" i="2"/>
  <c r="K616" i="2"/>
  <c r="Q617" i="2" l="1"/>
  <c r="M617" i="2"/>
  <c r="BG615" i="1"/>
  <c r="BE614" i="1"/>
  <c r="BA614" i="1"/>
  <c r="AL614" i="1"/>
  <c r="AR614" i="1" s="1"/>
  <c r="Z614" i="1"/>
  <c r="Q614" i="1"/>
  <c r="N614" i="1"/>
  <c r="BE613" i="1"/>
  <c r="BA613" i="1"/>
  <c r="AL613" i="1"/>
  <c r="AR613" i="1" s="1"/>
  <c r="Z613" i="1"/>
  <c r="Q613" i="1"/>
  <c r="S620" i="1" s="1"/>
  <c r="N613" i="1"/>
  <c r="BE612" i="1"/>
  <c r="BA612" i="1"/>
  <c r="AL612" i="1"/>
  <c r="AR612" i="1" s="1"/>
  <c r="Z612" i="1"/>
  <c r="Q612" i="1"/>
  <c r="S619" i="1" s="1"/>
  <c r="N612" i="1"/>
  <c r="S615" i="2"/>
  <c r="K615" i="2"/>
  <c r="S614" i="2"/>
  <c r="K614" i="2"/>
  <c r="S613" i="2"/>
  <c r="K613" i="2"/>
  <c r="BE611" i="1"/>
  <c r="BA611" i="1"/>
  <c r="AL611" i="1"/>
  <c r="AR611" i="1" s="1"/>
  <c r="Z611" i="1"/>
  <c r="Q611" i="1"/>
  <c r="S618" i="1" s="1"/>
  <c r="N611" i="1"/>
  <c r="BE610" i="1"/>
  <c r="BA610" i="1"/>
  <c r="AL610" i="1"/>
  <c r="AR610" i="1" s="1"/>
  <c r="Z610" i="1"/>
  <c r="Q610" i="1"/>
  <c r="S617" i="1" s="1"/>
  <c r="N610" i="1"/>
  <c r="BE609" i="1"/>
  <c r="BA609" i="1"/>
  <c r="AL609" i="1"/>
  <c r="AR609" i="1" s="1"/>
  <c r="Z609" i="1"/>
  <c r="Q609" i="1"/>
  <c r="S616" i="1" s="1"/>
  <c r="N609" i="1"/>
  <c r="BE608" i="1"/>
  <c r="BA608" i="1"/>
  <c r="AL608" i="1"/>
  <c r="Z608" i="1"/>
  <c r="Q608" i="1"/>
  <c r="S615" i="1" s="1"/>
  <c r="N608" i="1"/>
  <c r="S612" i="2"/>
  <c r="K612" i="2"/>
  <c r="S611" i="2"/>
  <c r="K611" i="2"/>
  <c r="S610" i="2"/>
  <c r="K610" i="2"/>
  <c r="S609" i="2"/>
  <c r="K609" i="2"/>
  <c r="BE607" i="1"/>
  <c r="BA607" i="1"/>
  <c r="AL607" i="1"/>
  <c r="AR607" i="1" s="1"/>
  <c r="Z607" i="1"/>
  <c r="Q607" i="1"/>
  <c r="N607" i="1"/>
  <c r="BE606" i="1"/>
  <c r="BA606" i="1"/>
  <c r="AL606" i="1"/>
  <c r="AR606" i="1" s="1"/>
  <c r="Z606" i="1"/>
  <c r="Q606" i="1"/>
  <c r="N606" i="1"/>
  <c r="BE605" i="1"/>
  <c r="BA605" i="1"/>
  <c r="AL605" i="1"/>
  <c r="AR605" i="1" s="1"/>
  <c r="Z605" i="1"/>
  <c r="Q605" i="1"/>
  <c r="N605" i="1"/>
  <c r="S608" i="2"/>
  <c r="K608" i="2"/>
  <c r="S607" i="2"/>
  <c r="K607" i="2"/>
  <c r="S606" i="2"/>
  <c r="K606" i="2"/>
  <c r="Q615" i="2" l="1"/>
  <c r="S614" i="1"/>
  <c r="S621" i="1"/>
  <c r="BG605" i="1"/>
  <c r="BG609" i="1"/>
  <c r="BG612" i="1"/>
  <c r="Q616" i="2"/>
  <c r="BG611" i="1"/>
  <c r="S612" i="1"/>
  <c r="M615" i="2"/>
  <c r="Q613" i="2"/>
  <c r="Q610" i="2"/>
  <c r="Q614" i="2"/>
  <c r="M616" i="2"/>
  <c r="S613" i="1"/>
  <c r="BG614" i="1"/>
  <c r="BG613" i="1"/>
  <c r="M614" i="2"/>
  <c r="M613" i="2"/>
  <c r="BG610" i="1"/>
  <c r="AR608" i="1"/>
  <c r="BG608" i="1"/>
  <c r="M611" i="2"/>
  <c r="Q609" i="2"/>
  <c r="Q607" i="2"/>
  <c r="Q612" i="2"/>
  <c r="M612" i="2"/>
  <c r="Q611" i="2"/>
  <c r="M610" i="2"/>
  <c r="M609" i="2"/>
  <c r="BG607" i="1"/>
  <c r="BG606" i="1"/>
  <c r="Q608" i="2"/>
  <c r="M608" i="2"/>
  <c r="M607" i="2"/>
  <c r="BE604" i="1" l="1"/>
  <c r="BA604" i="1"/>
  <c r="AL604" i="1"/>
  <c r="AR604" i="1" s="1"/>
  <c r="Z604" i="1"/>
  <c r="Q604" i="1"/>
  <c r="N604" i="1"/>
  <c r="BE603" i="1"/>
  <c r="BA603" i="1"/>
  <c r="AL603" i="1"/>
  <c r="AR603" i="1" s="1"/>
  <c r="Z603" i="1"/>
  <c r="Q603" i="1"/>
  <c r="S610" i="1" s="1"/>
  <c r="N603" i="1"/>
  <c r="BE602" i="1"/>
  <c r="BA602" i="1"/>
  <c r="AL602" i="1"/>
  <c r="AR602" i="1" s="1"/>
  <c r="Z602" i="1"/>
  <c r="Q602" i="1"/>
  <c r="S609" i="1" s="1"/>
  <c r="N602" i="1"/>
  <c r="BE601" i="1"/>
  <c r="BA601" i="1"/>
  <c r="AL601" i="1"/>
  <c r="AR601" i="1" s="1"/>
  <c r="Z601" i="1"/>
  <c r="Q601" i="1"/>
  <c r="S608" i="1" s="1"/>
  <c r="N601" i="1"/>
  <c r="S605" i="2"/>
  <c r="K605" i="2"/>
  <c r="S604" i="2"/>
  <c r="K604" i="2"/>
  <c r="S603" i="2"/>
  <c r="K603" i="2"/>
  <c r="S602" i="2"/>
  <c r="K602" i="2"/>
  <c r="BE600" i="1"/>
  <c r="BA600" i="1"/>
  <c r="AL600" i="1"/>
  <c r="Z600" i="1"/>
  <c r="Q600" i="1"/>
  <c r="S607" i="1" s="1"/>
  <c r="N600" i="1"/>
  <c r="BE599" i="1"/>
  <c r="BA599" i="1"/>
  <c r="AL599" i="1"/>
  <c r="AR599" i="1" s="1"/>
  <c r="Z599" i="1"/>
  <c r="Q599" i="1"/>
  <c r="S606" i="1" s="1"/>
  <c r="N599" i="1"/>
  <c r="S601" i="2"/>
  <c r="K601" i="2"/>
  <c r="S600" i="2"/>
  <c r="K600" i="2"/>
  <c r="BE598" i="1"/>
  <c r="BA598" i="1"/>
  <c r="AL598" i="1"/>
  <c r="AR598" i="1" s="1"/>
  <c r="Z598" i="1"/>
  <c r="Q598" i="1"/>
  <c r="S605" i="1" s="1"/>
  <c r="N598" i="1"/>
  <c r="S599" i="2"/>
  <c r="K599" i="2"/>
  <c r="BE597" i="1"/>
  <c r="BA597" i="1"/>
  <c r="AL597" i="1"/>
  <c r="AR597" i="1" s="1"/>
  <c r="Z597" i="1"/>
  <c r="Q597" i="1"/>
  <c r="N597" i="1"/>
  <c r="S598" i="2"/>
  <c r="K598" i="2"/>
  <c r="BE596" i="1"/>
  <c r="BA596" i="1"/>
  <c r="AL596" i="1"/>
  <c r="AR596" i="1" s="1"/>
  <c r="Z596" i="1"/>
  <c r="Q596" i="1"/>
  <c r="N596" i="1"/>
  <c r="BE595" i="1"/>
  <c r="BA595" i="1"/>
  <c r="AL595" i="1"/>
  <c r="AR595" i="1" s="1"/>
  <c r="Z595" i="1"/>
  <c r="Q595" i="1"/>
  <c r="N595" i="1"/>
  <c r="BE594" i="1"/>
  <c r="BA594" i="1"/>
  <c r="AL594" i="1"/>
  <c r="Z594" i="1"/>
  <c r="Q594" i="1"/>
  <c r="N594" i="1"/>
  <c r="S597" i="2"/>
  <c r="K597" i="2"/>
  <c r="S596" i="2"/>
  <c r="K596" i="2"/>
  <c r="S595" i="2"/>
  <c r="K595" i="2"/>
  <c r="S604" i="1" l="1"/>
  <c r="S611" i="1"/>
  <c r="Q603" i="2"/>
  <c r="Q597" i="2"/>
  <c r="S603" i="1"/>
  <c r="BG603" i="1"/>
  <c r="Q604" i="2"/>
  <c r="Q599" i="2"/>
  <c r="Q600" i="2"/>
  <c r="Q602" i="2"/>
  <c r="Q605" i="2"/>
  <c r="Q606" i="2"/>
  <c r="M606" i="2"/>
  <c r="BG604" i="1"/>
  <c r="S602" i="1"/>
  <c r="S601" i="1"/>
  <c r="BG602" i="1"/>
  <c r="BG601" i="1"/>
  <c r="M605" i="2"/>
  <c r="M604" i="2"/>
  <c r="M603" i="2"/>
  <c r="M602" i="2"/>
  <c r="Q598" i="2"/>
  <c r="AR600" i="1"/>
  <c r="BG600" i="1"/>
  <c r="BG599" i="1"/>
  <c r="Q601" i="2"/>
  <c r="M601" i="2"/>
  <c r="M600" i="2"/>
  <c r="BG598" i="1"/>
  <c r="M599" i="2"/>
  <c r="BG597" i="1"/>
  <c r="M598" i="2"/>
  <c r="M596" i="2"/>
  <c r="BG596" i="1"/>
  <c r="BG595" i="1"/>
  <c r="AR594" i="1"/>
  <c r="BG594" i="1"/>
  <c r="M597" i="2"/>
  <c r="Q596" i="2"/>
  <c r="BE593" i="1" l="1"/>
  <c r="BA593" i="1"/>
  <c r="AL593" i="1"/>
  <c r="AR593" i="1" s="1"/>
  <c r="Z593" i="1"/>
  <c r="Q593" i="1"/>
  <c r="S600" i="1" s="1"/>
  <c r="N593" i="1"/>
  <c r="BE592" i="1"/>
  <c r="BA592" i="1"/>
  <c r="AL592" i="1"/>
  <c r="Z592" i="1"/>
  <c r="Q592" i="1"/>
  <c r="S599" i="1" s="1"/>
  <c r="N592" i="1"/>
  <c r="S594" i="2"/>
  <c r="K594" i="2"/>
  <c r="S593" i="2"/>
  <c r="K593" i="2"/>
  <c r="BE591" i="1"/>
  <c r="BA591" i="1"/>
  <c r="AL591" i="1"/>
  <c r="AR591" i="1" s="1"/>
  <c r="Z591" i="1"/>
  <c r="Q591" i="1"/>
  <c r="S598" i="1" s="1"/>
  <c r="N591" i="1"/>
  <c r="BE590" i="1"/>
  <c r="BA590" i="1"/>
  <c r="AL590" i="1"/>
  <c r="AR590" i="1" s="1"/>
  <c r="Z590" i="1"/>
  <c r="Q590" i="1"/>
  <c r="S597" i="1" s="1"/>
  <c r="N590" i="1"/>
  <c r="BE589" i="1"/>
  <c r="BA589" i="1"/>
  <c r="AL589" i="1"/>
  <c r="AR589" i="1" s="1"/>
  <c r="Z589" i="1"/>
  <c r="Q589" i="1"/>
  <c r="S596" i="1" s="1"/>
  <c r="N589" i="1"/>
  <c r="BE588" i="1"/>
  <c r="BA588" i="1"/>
  <c r="AL588" i="1"/>
  <c r="AR588" i="1" s="1"/>
  <c r="Z588" i="1"/>
  <c r="Q588" i="1"/>
  <c r="S595" i="1" s="1"/>
  <c r="N588" i="1"/>
  <c r="BE587" i="1"/>
  <c r="BA587" i="1"/>
  <c r="AL587" i="1"/>
  <c r="AR587" i="1" s="1"/>
  <c r="Z587" i="1"/>
  <c r="Q587" i="1"/>
  <c r="S594" i="1" s="1"/>
  <c r="N587" i="1"/>
  <c r="S592" i="2"/>
  <c r="K592" i="2"/>
  <c r="S591" i="2"/>
  <c r="K591" i="2"/>
  <c r="S590" i="2"/>
  <c r="K590" i="2"/>
  <c r="S589" i="2"/>
  <c r="K589" i="2"/>
  <c r="S588" i="2"/>
  <c r="K588" i="2"/>
  <c r="Q592" i="2" l="1"/>
  <c r="M589" i="2"/>
  <c r="Q594" i="2"/>
  <c r="Q595" i="2"/>
  <c r="M595" i="2"/>
  <c r="Q593" i="2"/>
  <c r="Q591" i="2"/>
  <c r="BG593" i="1"/>
  <c r="AR592" i="1"/>
  <c r="BG592" i="1"/>
  <c r="M594" i="2"/>
  <c r="M593" i="2"/>
  <c r="BG591" i="1"/>
  <c r="BG590" i="1"/>
  <c r="BG589" i="1"/>
  <c r="BG588" i="1"/>
  <c r="BG587" i="1"/>
  <c r="M592" i="2"/>
  <c r="M591" i="2"/>
  <c r="Q589" i="2"/>
  <c r="Q590" i="2"/>
  <c r="M590" i="2"/>
  <c r="BE586" i="1" l="1"/>
  <c r="BA586" i="1"/>
  <c r="AL586" i="1"/>
  <c r="AR586" i="1" s="1"/>
  <c r="Z586" i="1"/>
  <c r="Q586" i="1"/>
  <c r="S593" i="1" s="1"/>
  <c r="N586" i="1"/>
  <c r="BE585" i="1"/>
  <c r="BA585" i="1"/>
  <c r="AL585" i="1"/>
  <c r="AR585" i="1" s="1"/>
  <c r="Z585" i="1"/>
  <c r="Q585" i="1"/>
  <c r="S592" i="1" s="1"/>
  <c r="N585" i="1"/>
  <c r="AA539" i="3"/>
  <c r="BE584" i="1"/>
  <c r="BA584" i="1"/>
  <c r="AL584" i="1"/>
  <c r="AR584" i="1" s="1"/>
  <c r="Z584" i="1"/>
  <c r="Q584" i="1"/>
  <c r="S591" i="1" s="1"/>
  <c r="N584" i="1"/>
  <c r="BE583" i="1"/>
  <c r="BA583" i="1"/>
  <c r="AL583" i="1"/>
  <c r="AR583" i="1" s="1"/>
  <c r="Z583" i="1"/>
  <c r="Q583" i="1"/>
  <c r="S590" i="1" s="1"/>
  <c r="N583" i="1"/>
  <c r="Z582" i="1"/>
  <c r="Q582" i="1"/>
  <c r="S589" i="1" s="1"/>
  <c r="N582" i="1"/>
  <c r="Z581" i="1"/>
  <c r="Q581" i="1"/>
  <c r="S588" i="1" s="1"/>
  <c r="N581" i="1"/>
  <c r="BC580" i="1"/>
  <c r="BA580" i="1" s="1"/>
  <c r="BE582" i="1"/>
  <c r="BE581" i="1"/>
  <c r="AP580" i="1"/>
  <c r="BE580" i="1"/>
  <c r="AG580" i="1"/>
  <c r="Z580" i="1"/>
  <c r="Q580" i="1"/>
  <c r="S587" i="1" s="1"/>
  <c r="N580" i="1"/>
  <c r="S587" i="2"/>
  <c r="K587" i="2"/>
  <c r="S586" i="2"/>
  <c r="K586" i="2"/>
  <c r="S585" i="2"/>
  <c r="K585" i="2"/>
  <c r="S584" i="2"/>
  <c r="K584" i="2"/>
  <c r="I581" i="2"/>
  <c r="I582" i="2" s="1"/>
  <c r="G581" i="2"/>
  <c r="G582" i="2" s="1"/>
  <c r="E581" i="2"/>
  <c r="E582" i="2" s="1"/>
  <c r="S583" i="2"/>
  <c r="K583" i="2"/>
  <c r="K582" i="2" l="1"/>
  <c r="Q583" i="2" s="1"/>
  <c r="Q586" i="2"/>
  <c r="Q587" i="2"/>
  <c r="M588" i="2"/>
  <c r="Q588" i="2"/>
  <c r="BG586" i="1"/>
  <c r="BG585" i="1"/>
  <c r="BG584" i="1"/>
  <c r="BG583" i="1"/>
  <c r="AP581" i="1"/>
  <c r="AL582" i="1" s="1"/>
  <c r="BC581" i="1"/>
  <c r="BG580" i="1"/>
  <c r="AL580" i="1"/>
  <c r="AR580" i="1" s="1"/>
  <c r="M586" i="2"/>
  <c r="Q584" i="2"/>
  <c r="Q585" i="2"/>
  <c r="M587" i="2"/>
  <c r="M585" i="2"/>
  <c r="M584" i="2"/>
  <c r="K581" i="2"/>
  <c r="BE579" i="1"/>
  <c r="BA579" i="1"/>
  <c r="AL579" i="1"/>
  <c r="AG579" i="1"/>
  <c r="Z579" i="1"/>
  <c r="Q579" i="1"/>
  <c r="S586" i="1" s="1"/>
  <c r="N579" i="1"/>
  <c r="BE578" i="1"/>
  <c r="BA578" i="1"/>
  <c r="AL578" i="1"/>
  <c r="AG578" i="1"/>
  <c r="Z578" i="1"/>
  <c r="Q578" i="1"/>
  <c r="S585" i="1" s="1"/>
  <c r="N578" i="1"/>
  <c r="BE577" i="1"/>
  <c r="BA577" i="1"/>
  <c r="AL577" i="1"/>
  <c r="AR577" i="1" s="1"/>
  <c r="AG577" i="1"/>
  <c r="Z577" i="1"/>
  <c r="Q577" i="1"/>
  <c r="S584" i="1" s="1"/>
  <c r="N577" i="1"/>
  <c r="BE576" i="1"/>
  <c r="BA576" i="1"/>
  <c r="AL576" i="1"/>
  <c r="AR576" i="1" s="1"/>
  <c r="AG576" i="1"/>
  <c r="Z576" i="1"/>
  <c r="Q576" i="1"/>
  <c r="S583" i="1" s="1"/>
  <c r="N576" i="1"/>
  <c r="S580" i="2"/>
  <c r="S581" i="2" s="1"/>
  <c r="S582" i="2" s="1"/>
  <c r="K580" i="2"/>
  <c r="S579" i="2"/>
  <c r="K579" i="2"/>
  <c r="S578" i="2"/>
  <c r="K578" i="2"/>
  <c r="S577" i="2"/>
  <c r="K577" i="2"/>
  <c r="BE575" i="1"/>
  <c r="BA575" i="1"/>
  <c r="AL575" i="1"/>
  <c r="AR575" i="1" s="1"/>
  <c r="AG575" i="1"/>
  <c r="Z575" i="1"/>
  <c r="Q575" i="1"/>
  <c r="S582" i="1" s="1"/>
  <c r="N575" i="1"/>
  <c r="BE574" i="1"/>
  <c r="BA574" i="1"/>
  <c r="AL574" i="1"/>
  <c r="AR574" i="1" s="1"/>
  <c r="AG574" i="1"/>
  <c r="Z574" i="1"/>
  <c r="Q574" i="1"/>
  <c r="S581" i="1" s="1"/>
  <c r="N574" i="1"/>
  <c r="BE573" i="1"/>
  <c r="BA573" i="1"/>
  <c r="AL573" i="1"/>
  <c r="AR573" i="1" s="1"/>
  <c r="AG573" i="1"/>
  <c r="AI580" i="1" s="1"/>
  <c r="Z573" i="1"/>
  <c r="Q573" i="1"/>
  <c r="S580" i="1" s="1"/>
  <c r="N573" i="1"/>
  <c r="S576" i="2"/>
  <c r="K576" i="2"/>
  <c r="S575" i="2"/>
  <c r="K575" i="2"/>
  <c r="S574" i="2"/>
  <c r="K574" i="2"/>
  <c r="M583" i="2" l="1"/>
  <c r="M582" i="2"/>
  <c r="AL581" i="1"/>
  <c r="AR581" i="1" s="1"/>
  <c r="Q577" i="2"/>
  <c r="BK580" i="1"/>
  <c r="BM580" i="1" s="1"/>
  <c r="Q582" i="2"/>
  <c r="BA582" i="1"/>
  <c r="BA581" i="1"/>
  <c r="BG581" i="1" s="1"/>
  <c r="AR582" i="1"/>
  <c r="Q579" i="2"/>
  <c r="M581" i="2"/>
  <c r="Q581" i="2"/>
  <c r="Q580" i="2"/>
  <c r="M578" i="2"/>
  <c r="AR579" i="1"/>
  <c r="AR578" i="1"/>
  <c r="BK579" i="1"/>
  <c r="BM579" i="1" s="1"/>
  <c r="BG574" i="1"/>
  <c r="BG579" i="1"/>
  <c r="BG578" i="1"/>
  <c r="BG577" i="1"/>
  <c r="BG576" i="1"/>
  <c r="M580" i="2"/>
  <c r="M579" i="2"/>
  <c r="Q578" i="2"/>
  <c r="Q575" i="2"/>
  <c r="Q576" i="2"/>
  <c r="M577" i="2"/>
  <c r="BG575" i="1"/>
  <c r="BG573" i="1"/>
  <c r="M576" i="2"/>
  <c r="M575" i="2"/>
  <c r="BG582" i="1" l="1"/>
  <c r="BE572" i="1" l="1"/>
  <c r="BA572" i="1"/>
  <c r="BK578" i="1" s="1"/>
  <c r="AL572" i="1"/>
  <c r="AR572" i="1" s="1"/>
  <c r="AG572" i="1"/>
  <c r="AI579" i="1" s="1"/>
  <c r="Z572" i="1"/>
  <c r="Q572" i="1"/>
  <c r="S579" i="1" s="1"/>
  <c r="N572" i="1"/>
  <c r="S573" i="2"/>
  <c r="K573" i="2"/>
  <c r="BM578" i="1" l="1"/>
  <c r="Q574" i="2"/>
  <c r="M574" i="2"/>
  <c r="BG572" i="1"/>
  <c r="BE571" i="1" l="1"/>
  <c r="BA571" i="1"/>
  <c r="BK577" i="1" s="1"/>
  <c r="BM577" i="1" s="1"/>
  <c r="AL571" i="1"/>
  <c r="AG571" i="1"/>
  <c r="AI578" i="1" s="1"/>
  <c r="Z571" i="1"/>
  <c r="Q571" i="1"/>
  <c r="S578" i="1" s="1"/>
  <c r="N571" i="1"/>
  <c r="S572" i="2"/>
  <c r="K572" i="2"/>
  <c r="BE570" i="1"/>
  <c r="BA570" i="1"/>
  <c r="AL570" i="1"/>
  <c r="AR570" i="1" s="1"/>
  <c r="AG570" i="1"/>
  <c r="AI577" i="1" s="1"/>
  <c r="Z570" i="1"/>
  <c r="Q570" i="1"/>
  <c r="S577" i="1" s="1"/>
  <c r="N570" i="1"/>
  <c r="BE569" i="1"/>
  <c r="BA569" i="1"/>
  <c r="AL569" i="1"/>
  <c r="AR569" i="1" s="1"/>
  <c r="AG569" i="1"/>
  <c r="AI576" i="1" s="1"/>
  <c r="Z569" i="1"/>
  <c r="Q569" i="1"/>
  <c r="S576" i="1" s="1"/>
  <c r="N569" i="1"/>
  <c r="BE568" i="1"/>
  <c r="BA568" i="1"/>
  <c r="AL568" i="1"/>
  <c r="AR568" i="1" s="1"/>
  <c r="AG568" i="1"/>
  <c r="AI575" i="1" s="1"/>
  <c r="Z568" i="1"/>
  <c r="Q568" i="1"/>
  <c r="S575" i="1" s="1"/>
  <c r="N568" i="1"/>
  <c r="BE567" i="1"/>
  <c r="BA567" i="1"/>
  <c r="AL567" i="1"/>
  <c r="AR567" i="1" s="1"/>
  <c r="AG567" i="1"/>
  <c r="AI574" i="1" s="1"/>
  <c r="Z567" i="1"/>
  <c r="Q567" i="1"/>
  <c r="S574" i="1" s="1"/>
  <c r="N567" i="1"/>
  <c r="BE566" i="1"/>
  <c r="BA566" i="1"/>
  <c r="AL566" i="1"/>
  <c r="AR566" i="1" s="1"/>
  <c r="AG566" i="1"/>
  <c r="AI573" i="1" s="1"/>
  <c r="Z566" i="1"/>
  <c r="Q566" i="1"/>
  <c r="S573" i="1" s="1"/>
  <c r="N566" i="1"/>
  <c r="S571" i="2"/>
  <c r="K571" i="2"/>
  <c r="S570" i="2"/>
  <c r="K570" i="2"/>
  <c r="S569" i="2"/>
  <c r="K569" i="2"/>
  <c r="S568" i="2"/>
  <c r="K568" i="2"/>
  <c r="S567" i="2"/>
  <c r="K567" i="2"/>
  <c r="S566" i="2"/>
  <c r="K566" i="2"/>
  <c r="Q568" i="2" l="1"/>
  <c r="BK573" i="1"/>
  <c r="BM573" i="1" s="1"/>
  <c r="BK576" i="1"/>
  <c r="BM576" i="1" s="1"/>
  <c r="BK572" i="1"/>
  <c r="BM572" i="1" s="1"/>
  <c r="BK575" i="1"/>
  <c r="BM575" i="1" s="1"/>
  <c r="BK574" i="1"/>
  <c r="BM574" i="1" s="1"/>
  <c r="BG571" i="1"/>
  <c r="AR571" i="1"/>
  <c r="Q572" i="2"/>
  <c r="Q573" i="2"/>
  <c r="M573" i="2"/>
  <c r="M572" i="2"/>
  <c r="Q569" i="2"/>
  <c r="M570" i="2"/>
  <c r="Q571" i="2"/>
  <c r="BG570" i="1"/>
  <c r="BG569" i="1"/>
  <c r="BG568" i="1"/>
  <c r="BG567" i="1"/>
  <c r="BG566" i="1"/>
  <c r="M571" i="2"/>
  <c r="Q570" i="2"/>
  <c r="M569" i="2"/>
  <c r="M568" i="2"/>
  <c r="Q567" i="2"/>
  <c r="M567" i="2"/>
  <c r="BE565" i="1" l="1"/>
  <c r="BA565" i="1"/>
  <c r="BK571" i="1" s="1"/>
  <c r="AL565" i="1"/>
  <c r="AR565" i="1" s="1"/>
  <c r="AG565" i="1"/>
  <c r="AI572" i="1" s="1"/>
  <c r="Z565" i="1"/>
  <c r="Q565" i="1"/>
  <c r="S572" i="1" s="1"/>
  <c r="N565" i="1"/>
  <c r="BM571" i="1" l="1"/>
  <c r="BG565" i="1"/>
  <c r="BE564" i="1" l="1"/>
  <c r="BA564" i="1"/>
  <c r="BK570" i="1" s="1"/>
  <c r="AL564" i="1"/>
  <c r="AR564" i="1" s="1"/>
  <c r="AG564" i="1"/>
  <c r="AI571" i="1" s="1"/>
  <c r="Z564" i="1"/>
  <c r="Q564" i="1"/>
  <c r="S571" i="1" s="1"/>
  <c r="N564" i="1"/>
  <c r="BE563" i="1"/>
  <c r="BA563" i="1"/>
  <c r="AL563" i="1"/>
  <c r="AR563" i="1" s="1"/>
  <c r="AG563" i="1"/>
  <c r="AI570" i="1" s="1"/>
  <c r="Z563" i="1"/>
  <c r="Q563" i="1"/>
  <c r="S570" i="1" s="1"/>
  <c r="N563" i="1"/>
  <c r="BE562" i="1"/>
  <c r="BA562" i="1"/>
  <c r="AL562" i="1"/>
  <c r="AR562" i="1" s="1"/>
  <c r="AG562" i="1"/>
  <c r="AI569" i="1" s="1"/>
  <c r="Z562" i="1"/>
  <c r="Q562" i="1"/>
  <c r="S569" i="1" s="1"/>
  <c r="N562" i="1"/>
  <c r="AA516" i="3"/>
  <c r="BM570" i="1" l="1"/>
  <c r="BK569" i="1"/>
  <c r="BK568" i="1"/>
  <c r="BG564" i="1"/>
  <c r="BG563" i="1"/>
  <c r="BG562" i="1"/>
  <c r="BM568" i="1" l="1"/>
  <c r="BM569" i="1"/>
  <c r="BE561" i="1"/>
  <c r="BA561" i="1"/>
  <c r="BK567" i="1" s="1"/>
  <c r="BM567" i="1" s="1"/>
  <c r="AL561" i="1"/>
  <c r="AR561" i="1" s="1"/>
  <c r="AG561" i="1"/>
  <c r="AI568" i="1" s="1"/>
  <c r="Z561" i="1"/>
  <c r="Q561" i="1"/>
  <c r="S568" i="1" s="1"/>
  <c r="N561" i="1"/>
  <c r="BE560" i="1"/>
  <c r="BA560" i="1"/>
  <c r="AL560" i="1"/>
  <c r="AR560" i="1" s="1"/>
  <c r="AG560" i="1"/>
  <c r="AI567" i="1" s="1"/>
  <c r="Z560" i="1"/>
  <c r="Q560" i="1"/>
  <c r="S567" i="1" s="1"/>
  <c r="N560" i="1"/>
  <c r="BE559" i="1"/>
  <c r="BA559" i="1"/>
  <c r="AL559" i="1"/>
  <c r="AR559" i="1" s="1"/>
  <c r="AG559" i="1"/>
  <c r="AI566" i="1" s="1"/>
  <c r="Z559" i="1"/>
  <c r="Q559" i="1"/>
  <c r="S566" i="1" s="1"/>
  <c r="N559" i="1"/>
  <c r="S565" i="2"/>
  <c r="K565" i="2"/>
  <c r="S564" i="2"/>
  <c r="K564" i="2"/>
  <c r="S563" i="2"/>
  <c r="K563" i="2"/>
  <c r="S562" i="2"/>
  <c r="K562" i="2"/>
  <c r="S561" i="2"/>
  <c r="K561" i="2"/>
  <c r="S560" i="2"/>
  <c r="K560" i="2"/>
  <c r="Q563" i="2" l="1"/>
  <c r="M566" i="2"/>
  <c r="Q566" i="2"/>
  <c r="BK566" i="1"/>
  <c r="BM566" i="1" s="1"/>
  <c r="M561" i="2"/>
  <c r="BK565" i="1"/>
  <c r="BM565" i="1" s="1"/>
  <c r="M565" i="2"/>
  <c r="M564" i="2"/>
  <c r="Q564" i="2"/>
  <c r="Q562" i="2"/>
  <c r="Q561" i="2"/>
  <c r="BG561" i="1"/>
  <c r="BG560" i="1"/>
  <c r="BG559" i="1"/>
  <c r="Q565" i="2"/>
  <c r="M563" i="2"/>
  <c r="M562" i="2"/>
  <c r="BE558" i="1" l="1"/>
  <c r="BA558" i="1"/>
  <c r="AL558" i="1"/>
  <c r="AR558" i="1" s="1"/>
  <c r="AG558" i="1"/>
  <c r="AI565" i="1" s="1"/>
  <c r="Z558" i="1"/>
  <c r="Q558" i="1"/>
  <c r="S565" i="1" s="1"/>
  <c r="N558" i="1"/>
  <c r="BE557" i="1"/>
  <c r="BA557" i="1"/>
  <c r="AL557" i="1"/>
  <c r="AR557" i="1" s="1"/>
  <c r="AG557" i="1"/>
  <c r="AI564" i="1" s="1"/>
  <c r="Z557" i="1"/>
  <c r="Q557" i="1"/>
  <c r="S564" i="1" s="1"/>
  <c r="N557" i="1"/>
  <c r="BE556" i="1"/>
  <c r="BA556" i="1"/>
  <c r="AL556" i="1"/>
  <c r="AR556" i="1" s="1"/>
  <c r="AG556" i="1"/>
  <c r="AI563" i="1" s="1"/>
  <c r="Z556" i="1"/>
  <c r="Q556" i="1"/>
  <c r="S563" i="1" s="1"/>
  <c r="N556" i="1"/>
  <c r="BE555" i="1"/>
  <c r="BA555" i="1"/>
  <c r="AL555" i="1"/>
  <c r="AR555" i="1" s="1"/>
  <c r="AG555" i="1"/>
  <c r="AI562" i="1" s="1"/>
  <c r="Z555" i="1"/>
  <c r="Q555" i="1"/>
  <c r="S562" i="1" s="1"/>
  <c r="N555" i="1"/>
  <c r="BE554" i="1"/>
  <c r="BA554" i="1"/>
  <c r="AL554" i="1"/>
  <c r="AR554" i="1" s="1"/>
  <c r="AG554" i="1"/>
  <c r="AI561" i="1" s="1"/>
  <c r="Z554" i="1"/>
  <c r="Q554" i="1"/>
  <c r="S561" i="1" s="1"/>
  <c r="N554" i="1"/>
  <c r="BE553" i="1"/>
  <c r="BA553" i="1"/>
  <c r="AL553" i="1"/>
  <c r="AR553" i="1" s="1"/>
  <c r="AG553" i="1"/>
  <c r="AI560" i="1" s="1"/>
  <c r="Z553" i="1"/>
  <c r="Q553" i="1"/>
  <c r="S560" i="1" s="1"/>
  <c r="N553" i="1"/>
  <c r="BE552" i="1"/>
  <c r="BA552" i="1"/>
  <c r="AL552" i="1"/>
  <c r="AR552" i="1" s="1"/>
  <c r="AG552" i="1"/>
  <c r="AI559" i="1" s="1"/>
  <c r="Z552" i="1"/>
  <c r="Q552" i="1"/>
  <c r="S559" i="1" s="1"/>
  <c r="N552" i="1"/>
  <c r="S559" i="2"/>
  <c r="K559" i="2"/>
  <c r="S558" i="2"/>
  <c r="K558" i="2"/>
  <c r="S557" i="2"/>
  <c r="K557" i="2"/>
  <c r="S556" i="2"/>
  <c r="K556" i="2"/>
  <c r="S555" i="2"/>
  <c r="K555" i="2"/>
  <c r="S554" i="2"/>
  <c r="K554" i="2"/>
  <c r="S553" i="2"/>
  <c r="K553" i="2"/>
  <c r="BK561" i="1" l="1"/>
  <c r="BM561" i="1" s="1"/>
  <c r="M560" i="2"/>
  <c r="Q560" i="2"/>
  <c r="Q556" i="2"/>
  <c r="BK558" i="1"/>
  <c r="BM558" i="1" s="1"/>
  <c r="BK564" i="1"/>
  <c r="BK563" i="1"/>
  <c r="BM563" i="1" s="1"/>
  <c r="BK560" i="1"/>
  <c r="BM560" i="1" s="1"/>
  <c r="BK562" i="1"/>
  <c r="BM562" i="1" s="1"/>
  <c r="BK559" i="1"/>
  <c r="BM559" i="1" s="1"/>
  <c r="M557" i="2"/>
  <c r="M554" i="2"/>
  <c r="M558" i="2"/>
  <c r="BG558" i="1"/>
  <c r="BG557" i="1"/>
  <c r="BG556" i="1"/>
  <c r="BG555" i="1"/>
  <c r="BG554" i="1"/>
  <c r="BG553" i="1"/>
  <c r="BG552" i="1"/>
  <c r="Q559" i="2"/>
  <c r="M559" i="2"/>
  <c r="Q558" i="2"/>
  <c r="Q557" i="2"/>
  <c r="Q554" i="2"/>
  <c r="Q555" i="2"/>
  <c r="M556" i="2"/>
  <c r="M555" i="2"/>
  <c r="BM564" i="1" l="1"/>
  <c r="BE551" i="1"/>
  <c r="BA551" i="1"/>
  <c r="BK557" i="1" s="1"/>
  <c r="AL551" i="1"/>
  <c r="AR551" i="1" s="1"/>
  <c r="AG551" i="1"/>
  <c r="AI558" i="1" s="1"/>
  <c r="Z551" i="1"/>
  <c r="Q551" i="1"/>
  <c r="S558" i="1" s="1"/>
  <c r="N551" i="1"/>
  <c r="BE550" i="1"/>
  <c r="BA550" i="1"/>
  <c r="AL550" i="1"/>
  <c r="AG550" i="1"/>
  <c r="Z550" i="1"/>
  <c r="Q550" i="1"/>
  <c r="S557" i="1" s="1"/>
  <c r="N550" i="1"/>
  <c r="BE549" i="1"/>
  <c r="BA549" i="1"/>
  <c r="AL549" i="1"/>
  <c r="AR549" i="1" s="1"/>
  <c r="AG549" i="1"/>
  <c r="Z549" i="1"/>
  <c r="Q549" i="1"/>
  <c r="S556" i="1" s="1"/>
  <c r="N549" i="1"/>
  <c r="BE548" i="1"/>
  <c r="BA548" i="1"/>
  <c r="AL548" i="1"/>
  <c r="AR548" i="1" s="1"/>
  <c r="AG548" i="1"/>
  <c r="AI555" i="1" s="1"/>
  <c r="Z548" i="1"/>
  <c r="Q548" i="1"/>
  <c r="S555" i="1" s="1"/>
  <c r="N548" i="1"/>
  <c r="BE547" i="1"/>
  <c r="BA547" i="1"/>
  <c r="AL547" i="1"/>
  <c r="AR547" i="1" s="1"/>
  <c r="AG547" i="1"/>
  <c r="AI554" i="1" s="1"/>
  <c r="Z547" i="1"/>
  <c r="Q547" i="1"/>
  <c r="S554" i="1" s="1"/>
  <c r="N547" i="1"/>
  <c r="BE546" i="1"/>
  <c r="BA546" i="1"/>
  <c r="AL546" i="1"/>
  <c r="AR546" i="1" s="1"/>
  <c r="AG546" i="1"/>
  <c r="Z546" i="1"/>
  <c r="Q546" i="1"/>
  <c r="S553" i="1" s="1"/>
  <c r="N546" i="1"/>
  <c r="BE545" i="1"/>
  <c r="BA545" i="1"/>
  <c r="AL545" i="1"/>
  <c r="AR545" i="1" s="1"/>
  <c r="AG545" i="1"/>
  <c r="AI552" i="1" s="1"/>
  <c r="Z545" i="1"/>
  <c r="Q545" i="1"/>
  <c r="S552" i="1" s="1"/>
  <c r="N545" i="1"/>
  <c r="BE544" i="1"/>
  <c r="BA544" i="1"/>
  <c r="AL544" i="1"/>
  <c r="AR544" i="1" s="1"/>
  <c r="AG544" i="1"/>
  <c r="Z544" i="1"/>
  <c r="Q544" i="1"/>
  <c r="N544" i="1"/>
  <c r="BE543" i="1"/>
  <c r="BA543" i="1"/>
  <c r="AL543" i="1"/>
  <c r="AR543" i="1" s="1"/>
  <c r="AG543" i="1"/>
  <c r="Z543" i="1"/>
  <c r="Q543" i="1"/>
  <c r="N543" i="1"/>
  <c r="BE542" i="1"/>
  <c r="BA542" i="1"/>
  <c r="AL542" i="1"/>
  <c r="AR542" i="1" s="1"/>
  <c r="AG542" i="1"/>
  <c r="Z542" i="1"/>
  <c r="Q542" i="1"/>
  <c r="N542" i="1"/>
  <c r="BE541" i="1"/>
  <c r="BA541" i="1"/>
  <c r="AL541" i="1"/>
  <c r="AR541" i="1" s="1"/>
  <c r="AG541" i="1"/>
  <c r="Z541" i="1"/>
  <c r="Q541" i="1"/>
  <c r="N541" i="1"/>
  <c r="BE540" i="1"/>
  <c r="BA540" i="1"/>
  <c r="AL540" i="1"/>
  <c r="AR540" i="1" s="1"/>
  <c r="AG540" i="1"/>
  <c r="Z540" i="1"/>
  <c r="Q540" i="1"/>
  <c r="N540" i="1"/>
  <c r="BE539" i="1"/>
  <c r="BA539" i="1"/>
  <c r="AL539" i="1"/>
  <c r="AR539" i="1" s="1"/>
  <c r="AG539" i="1"/>
  <c r="Z539" i="1"/>
  <c r="Q539" i="1"/>
  <c r="N539" i="1"/>
  <c r="BE538" i="1"/>
  <c r="BA538" i="1"/>
  <c r="AL538" i="1"/>
  <c r="AR538" i="1" s="1"/>
  <c r="AG538" i="1"/>
  <c r="Z538" i="1"/>
  <c r="Q538" i="1"/>
  <c r="N538" i="1"/>
  <c r="BE537" i="1"/>
  <c r="BA537" i="1"/>
  <c r="AL537" i="1"/>
  <c r="AR537" i="1" s="1"/>
  <c r="AG537" i="1"/>
  <c r="Z537" i="1"/>
  <c r="Q537" i="1"/>
  <c r="N537" i="1"/>
  <c r="BE536" i="1"/>
  <c r="BA536" i="1"/>
  <c r="AL536" i="1"/>
  <c r="AR536" i="1" s="1"/>
  <c r="AG536" i="1"/>
  <c r="Z536" i="1"/>
  <c r="Q536" i="1"/>
  <c r="N536" i="1"/>
  <c r="BE535" i="1"/>
  <c r="BA535" i="1"/>
  <c r="AL535" i="1"/>
  <c r="AR535" i="1" s="1"/>
  <c r="AG535" i="1"/>
  <c r="Z535" i="1"/>
  <c r="Q535" i="1"/>
  <c r="N535" i="1"/>
  <c r="BE534" i="1"/>
  <c r="BA534" i="1"/>
  <c r="AL534" i="1"/>
  <c r="AR534" i="1" s="1"/>
  <c r="AG534" i="1"/>
  <c r="Z534" i="1"/>
  <c r="Q534" i="1"/>
  <c r="N534" i="1"/>
  <c r="BE533" i="1"/>
  <c r="BA533" i="1"/>
  <c r="AL533" i="1"/>
  <c r="AR533" i="1" s="1"/>
  <c r="AG533" i="1"/>
  <c r="Z533" i="1"/>
  <c r="Q533" i="1"/>
  <c r="N533" i="1"/>
  <c r="BE532" i="1"/>
  <c r="BA532" i="1"/>
  <c r="AL532" i="1"/>
  <c r="AR532" i="1" s="1"/>
  <c r="AG532" i="1"/>
  <c r="Z532" i="1"/>
  <c r="Q532" i="1"/>
  <c r="N532" i="1"/>
  <c r="BE531" i="1"/>
  <c r="BA531" i="1"/>
  <c r="AL531" i="1"/>
  <c r="AR531" i="1" s="1"/>
  <c r="AG531" i="1"/>
  <c r="Z531" i="1"/>
  <c r="Q531" i="1"/>
  <c r="N531" i="1"/>
  <c r="S552" i="2"/>
  <c r="K552" i="2"/>
  <c r="S551" i="2"/>
  <c r="K551" i="2"/>
  <c r="S550" i="2"/>
  <c r="K550" i="2"/>
  <c r="S549" i="2"/>
  <c r="K549" i="2"/>
  <c r="S548" i="2"/>
  <c r="K548" i="2"/>
  <c r="S547" i="2"/>
  <c r="K547" i="2"/>
  <c r="S546" i="2"/>
  <c r="K546" i="2"/>
  <c r="S545" i="2"/>
  <c r="K545" i="2"/>
  <c r="S544" i="2"/>
  <c r="K544" i="2"/>
  <c r="S543" i="2"/>
  <c r="K543" i="2"/>
  <c r="S542" i="2"/>
  <c r="K542" i="2"/>
  <c r="S541" i="2"/>
  <c r="K541" i="2"/>
  <c r="S540" i="2"/>
  <c r="K540" i="2"/>
  <c r="K539" i="2"/>
  <c r="K538" i="2"/>
  <c r="S539" i="2"/>
  <c r="S538" i="2"/>
  <c r="S537" i="2"/>
  <c r="K537" i="2"/>
  <c r="S536" i="2"/>
  <c r="K536" i="2"/>
  <c r="S535" i="2"/>
  <c r="K535" i="2"/>
  <c r="S534" i="2"/>
  <c r="K534" i="2"/>
  <c r="S533" i="2"/>
  <c r="K533" i="2"/>
  <c r="S532" i="2"/>
  <c r="K532" i="2"/>
  <c r="BE530" i="1"/>
  <c r="BA530" i="1"/>
  <c r="AL530" i="1"/>
  <c r="AR530" i="1" s="1"/>
  <c r="AG530" i="1"/>
  <c r="Z530" i="1"/>
  <c r="Q530" i="1"/>
  <c r="N530" i="1"/>
  <c r="BE529" i="1"/>
  <c r="BA529" i="1"/>
  <c r="AL529" i="1"/>
  <c r="AR529" i="1" s="1"/>
  <c r="AG529" i="1"/>
  <c r="Z529" i="1"/>
  <c r="Q529" i="1"/>
  <c r="N529" i="1"/>
  <c r="BE528" i="1"/>
  <c r="BA528" i="1"/>
  <c r="AL528" i="1"/>
  <c r="AR528" i="1" s="1"/>
  <c r="AG528" i="1"/>
  <c r="Z528" i="1"/>
  <c r="Q528" i="1"/>
  <c r="N528" i="1"/>
  <c r="BE527" i="1"/>
  <c r="BA527" i="1"/>
  <c r="AL527" i="1"/>
  <c r="AR527" i="1" s="1"/>
  <c r="AG527" i="1"/>
  <c r="Z527" i="1"/>
  <c r="Q527" i="1"/>
  <c r="N527" i="1"/>
  <c r="BE526" i="1"/>
  <c r="BA526" i="1"/>
  <c r="AL526" i="1"/>
  <c r="AR526" i="1" s="1"/>
  <c r="AG526" i="1"/>
  <c r="Z526" i="1"/>
  <c r="Q526" i="1"/>
  <c r="N526" i="1"/>
  <c r="BE525" i="1"/>
  <c r="BA525" i="1"/>
  <c r="AL525" i="1"/>
  <c r="AR525" i="1" s="1"/>
  <c r="AG525" i="1"/>
  <c r="Z525" i="1"/>
  <c r="Q525" i="1"/>
  <c r="N525" i="1"/>
  <c r="BE524" i="1"/>
  <c r="BA524" i="1"/>
  <c r="AL524" i="1"/>
  <c r="AR524" i="1" s="1"/>
  <c r="AG524" i="1"/>
  <c r="Z524" i="1"/>
  <c r="Q524" i="1"/>
  <c r="N524" i="1"/>
  <c r="S531" i="2"/>
  <c r="K531" i="2"/>
  <c r="S530" i="2"/>
  <c r="K530" i="2"/>
  <c r="S529" i="2"/>
  <c r="K529" i="2"/>
  <c r="S528" i="2"/>
  <c r="S527" i="2"/>
  <c r="S526" i="2"/>
  <c r="K528" i="2"/>
  <c r="K527" i="2"/>
  <c r="K526" i="2"/>
  <c r="S525" i="2"/>
  <c r="K525" i="2"/>
  <c r="U530" i="2" l="1"/>
  <c r="BK556" i="1"/>
  <c r="BM556" i="1" s="1"/>
  <c r="BK555" i="1"/>
  <c r="BM555" i="1" s="1"/>
  <c r="BK554" i="1"/>
  <c r="BM554" i="1" s="1"/>
  <c r="BG549" i="1"/>
  <c r="AI549" i="1"/>
  <c r="AI556" i="1"/>
  <c r="AI550" i="1"/>
  <c r="AI557" i="1"/>
  <c r="BK548" i="1"/>
  <c r="BM548" i="1" s="1"/>
  <c r="BM557" i="1"/>
  <c r="M546" i="2"/>
  <c r="Q550" i="2"/>
  <c r="M538" i="2"/>
  <c r="AI551" i="1"/>
  <c r="S543" i="1"/>
  <c r="BK553" i="1"/>
  <c r="BM553" i="1" s="1"/>
  <c r="AI546" i="1"/>
  <c r="AI553" i="1"/>
  <c r="AI536" i="1"/>
  <c r="BK550" i="1"/>
  <c r="BM550" i="1" s="1"/>
  <c r="BK549" i="1"/>
  <c r="BM549" i="1" s="1"/>
  <c r="BK552" i="1"/>
  <c r="BM552" i="1" s="1"/>
  <c r="M551" i="2"/>
  <c r="Q548" i="2"/>
  <c r="Q553" i="2"/>
  <c r="M553" i="2"/>
  <c r="M537" i="2"/>
  <c r="M541" i="2"/>
  <c r="Q536" i="2"/>
  <c r="Q544" i="2"/>
  <c r="Q551" i="2"/>
  <c r="M549" i="2"/>
  <c r="Q552" i="2"/>
  <c r="Q547" i="2"/>
  <c r="BK551" i="1"/>
  <c r="BG551" i="1"/>
  <c r="S551" i="1"/>
  <c r="BG550" i="1"/>
  <c r="AR550" i="1"/>
  <c r="S550" i="1"/>
  <c r="S549" i="1"/>
  <c r="AI540" i="1"/>
  <c r="AI547" i="1"/>
  <c r="BK546" i="1"/>
  <c r="BM546" i="1" s="1"/>
  <c r="AI538" i="1"/>
  <c r="BK547" i="1"/>
  <c r="S542" i="1"/>
  <c r="BK545" i="1"/>
  <c r="BM545" i="1" s="1"/>
  <c r="AI548" i="1"/>
  <c r="BG548" i="1"/>
  <c r="S548" i="1"/>
  <c r="BG547" i="1"/>
  <c r="S547" i="1"/>
  <c r="BG546" i="1"/>
  <c r="S546" i="1"/>
  <c r="AI545" i="1"/>
  <c r="BG545" i="1"/>
  <c r="S545" i="1"/>
  <c r="AI544" i="1"/>
  <c r="BK540" i="1"/>
  <c r="BM540" i="1" s="1"/>
  <c r="BK539" i="1"/>
  <c r="BM539" i="1" s="1"/>
  <c r="AI542" i="1"/>
  <c r="BK544" i="1"/>
  <c r="BM544" i="1" s="1"/>
  <c r="AI541" i="1"/>
  <c r="S544" i="1"/>
  <c r="BK541" i="1"/>
  <c r="BM541" i="1" s="1"/>
  <c r="BG544" i="1"/>
  <c r="BK543" i="1"/>
  <c r="BM543" i="1" s="1"/>
  <c r="AI543" i="1"/>
  <c r="BG543" i="1"/>
  <c r="BK542" i="1"/>
  <c r="BG542" i="1"/>
  <c r="BG541" i="1"/>
  <c r="S541" i="1"/>
  <c r="BG540" i="1"/>
  <c r="S540" i="1"/>
  <c r="S537" i="1"/>
  <c r="BG537" i="1"/>
  <c r="S538" i="1"/>
  <c r="BK538" i="1"/>
  <c r="BM538" i="1" s="1"/>
  <c r="AI535" i="1"/>
  <c r="BK536" i="1"/>
  <c r="BM536" i="1" s="1"/>
  <c r="AI539" i="1"/>
  <c r="BK537" i="1"/>
  <c r="BM537" i="1" s="1"/>
  <c r="AI537" i="1"/>
  <c r="BG539" i="1"/>
  <c r="S539" i="1"/>
  <c r="BG538" i="1"/>
  <c r="BG536" i="1"/>
  <c r="S536" i="1"/>
  <c r="BK535" i="1"/>
  <c r="BG534" i="1"/>
  <c r="BG535" i="1"/>
  <c r="S535" i="1"/>
  <c r="AI531" i="1"/>
  <c r="AI533" i="1"/>
  <c r="BK534" i="1"/>
  <c r="BM534" i="1" s="1"/>
  <c r="AI534" i="1"/>
  <c r="BK531" i="1"/>
  <c r="BM531" i="1" s="1"/>
  <c r="BK533" i="1"/>
  <c r="BM533" i="1" s="1"/>
  <c r="AI532" i="1"/>
  <c r="S534" i="1"/>
  <c r="S533" i="1"/>
  <c r="BG533" i="1"/>
  <c r="BK532" i="1"/>
  <c r="BG532" i="1"/>
  <c r="S532" i="1"/>
  <c r="BG531" i="1"/>
  <c r="S531" i="1"/>
  <c r="M552" i="2"/>
  <c r="M550" i="2"/>
  <c r="Q549" i="2"/>
  <c r="M548" i="2"/>
  <c r="M547" i="2"/>
  <c r="Q539" i="2"/>
  <c r="Q540" i="2"/>
  <c r="Q543" i="2"/>
  <c r="M529" i="2"/>
  <c r="M542" i="2"/>
  <c r="Q545" i="2"/>
  <c r="Q546" i="2"/>
  <c r="M545" i="2"/>
  <c r="M544" i="2"/>
  <c r="M543" i="2"/>
  <c r="Q538" i="2"/>
  <c r="U537" i="2"/>
  <c r="M540" i="2"/>
  <c r="Q541" i="2"/>
  <c r="Q537" i="2"/>
  <c r="Q542" i="2"/>
  <c r="M539" i="2"/>
  <c r="Q533" i="2"/>
  <c r="U533" i="2"/>
  <c r="Q534" i="2"/>
  <c r="U536" i="2"/>
  <c r="Q532" i="2"/>
  <c r="Q527" i="2"/>
  <c r="U534" i="2"/>
  <c r="U528" i="2"/>
  <c r="Q535" i="2"/>
  <c r="M536" i="2"/>
  <c r="U535" i="2"/>
  <c r="M535" i="2"/>
  <c r="M534" i="2"/>
  <c r="M533" i="2"/>
  <c r="U532" i="2"/>
  <c r="M532" i="2"/>
  <c r="Q530" i="2"/>
  <c r="U529" i="2"/>
  <c r="Q528" i="2"/>
  <c r="BG526" i="1"/>
  <c r="BK530" i="1"/>
  <c r="BG530" i="1"/>
  <c r="BG529" i="1"/>
  <c r="BG528" i="1"/>
  <c r="BG527" i="1"/>
  <c r="BG525" i="1"/>
  <c r="BG524" i="1"/>
  <c r="U531" i="2"/>
  <c r="M531" i="2"/>
  <c r="Q531" i="2"/>
  <c r="M530" i="2"/>
  <c r="Q529" i="2"/>
  <c r="M528" i="2"/>
  <c r="U527" i="2"/>
  <c r="M527" i="2"/>
  <c r="Q526" i="2"/>
  <c r="U525" i="2"/>
  <c r="U526" i="2"/>
  <c r="M526" i="2"/>
  <c r="BM551" i="1" l="1"/>
  <c r="BM547" i="1"/>
  <c r="BM542" i="1"/>
  <c r="BM535" i="1"/>
  <c r="BM532" i="1"/>
  <c r="BM530" i="1"/>
  <c r="BA949" i="1"/>
  <c r="BE523" i="1" l="1"/>
  <c r="BA523" i="1"/>
  <c r="BK529" i="1" s="1"/>
  <c r="AL523" i="1"/>
  <c r="AG523" i="1"/>
  <c r="AI530" i="1" s="1"/>
  <c r="Z523" i="1"/>
  <c r="Q523" i="1"/>
  <c r="S530" i="1" s="1"/>
  <c r="N523" i="1"/>
  <c r="BE522" i="1"/>
  <c r="BA522" i="1"/>
  <c r="AL522" i="1"/>
  <c r="AR522" i="1" s="1"/>
  <c r="AG522" i="1"/>
  <c r="AI529" i="1" s="1"/>
  <c r="Z522" i="1"/>
  <c r="Q522" i="1"/>
  <c r="S529" i="1" s="1"/>
  <c r="N522" i="1"/>
  <c r="BE521" i="1"/>
  <c r="BA521" i="1"/>
  <c r="AL521" i="1"/>
  <c r="AR521" i="1" s="1"/>
  <c r="AG521" i="1"/>
  <c r="AI528" i="1" s="1"/>
  <c r="Z521" i="1"/>
  <c r="Q521" i="1"/>
  <c r="S528" i="1" s="1"/>
  <c r="N521" i="1"/>
  <c r="BE520" i="1"/>
  <c r="BA520" i="1"/>
  <c r="AL520" i="1"/>
  <c r="AR520" i="1" s="1"/>
  <c r="AG520" i="1"/>
  <c r="AI527" i="1" s="1"/>
  <c r="Z520" i="1"/>
  <c r="Q520" i="1"/>
  <c r="S527" i="1" s="1"/>
  <c r="N520" i="1"/>
  <c r="BE519" i="1"/>
  <c r="BA519" i="1"/>
  <c r="AL519" i="1"/>
  <c r="AR519" i="1" s="1"/>
  <c r="AG519" i="1"/>
  <c r="AI526" i="1" s="1"/>
  <c r="Z519" i="1"/>
  <c r="Q519" i="1"/>
  <c r="S526" i="1" s="1"/>
  <c r="N519" i="1"/>
  <c r="BE518" i="1"/>
  <c r="BA518" i="1"/>
  <c r="AL518" i="1"/>
  <c r="AR518" i="1" s="1"/>
  <c r="AG518" i="1"/>
  <c r="AI525" i="1" s="1"/>
  <c r="Z518" i="1"/>
  <c r="Q518" i="1"/>
  <c r="S525" i="1" s="1"/>
  <c r="N518" i="1"/>
  <c r="BE517" i="1"/>
  <c r="BA517" i="1"/>
  <c r="AL517" i="1"/>
  <c r="AR517" i="1" s="1"/>
  <c r="AG517" i="1"/>
  <c r="AI524" i="1" s="1"/>
  <c r="Z517" i="1"/>
  <c r="Q517" i="1"/>
  <c r="S524" i="1" s="1"/>
  <c r="N517" i="1"/>
  <c r="S524" i="2"/>
  <c r="K524" i="2"/>
  <c r="S523" i="2"/>
  <c r="K523" i="2"/>
  <c r="S522" i="2"/>
  <c r="K522" i="2"/>
  <c r="S521" i="2"/>
  <c r="K521" i="2"/>
  <c r="S520" i="2"/>
  <c r="K520" i="2"/>
  <c r="S519" i="2"/>
  <c r="K519" i="2"/>
  <c r="S518" i="2"/>
  <c r="K518" i="2"/>
  <c r="U520" i="2" l="1"/>
  <c r="U524" i="2"/>
  <c r="Q524" i="2"/>
  <c r="Q525" i="2"/>
  <c r="M525" i="2"/>
  <c r="BM529" i="1"/>
  <c r="BK528" i="1"/>
  <c r="BM528" i="1" s="1"/>
  <c r="BK527" i="1"/>
  <c r="BM527" i="1" s="1"/>
  <c r="BK524" i="1"/>
  <c r="BM524" i="1" s="1"/>
  <c r="BK525" i="1"/>
  <c r="BM525" i="1" s="1"/>
  <c r="BK526" i="1"/>
  <c r="BK523" i="1"/>
  <c r="BM523" i="1" s="1"/>
  <c r="U523" i="2"/>
  <c r="AR523" i="1"/>
  <c r="BG523" i="1"/>
  <c r="BG522" i="1"/>
  <c r="BG521" i="1"/>
  <c r="BG520" i="1"/>
  <c r="BG519" i="1"/>
  <c r="BG518" i="1"/>
  <c r="BG517" i="1"/>
  <c r="M524" i="2"/>
  <c r="M523" i="2"/>
  <c r="Q523" i="2"/>
  <c r="Q519" i="2"/>
  <c r="Q521" i="2"/>
  <c r="Q522" i="2"/>
  <c r="U522" i="2"/>
  <c r="M522" i="2"/>
  <c r="U521" i="2"/>
  <c r="M521" i="2"/>
  <c r="Q520" i="2"/>
  <c r="M520" i="2"/>
  <c r="U519" i="2"/>
  <c r="M519" i="2"/>
  <c r="U518" i="2"/>
  <c r="BM526" i="1" l="1"/>
  <c r="BE516" i="1"/>
  <c r="BA516" i="1"/>
  <c r="BK522" i="1" s="1"/>
  <c r="AL516" i="1"/>
  <c r="AR516" i="1" s="1"/>
  <c r="AG516" i="1"/>
  <c r="Z516" i="1"/>
  <c r="Q516" i="1"/>
  <c r="S523" i="1" s="1"/>
  <c r="N516" i="1"/>
  <c r="BE515" i="1"/>
  <c r="BA515" i="1"/>
  <c r="AL515" i="1"/>
  <c r="AR515" i="1" s="1"/>
  <c r="AG515" i="1"/>
  <c r="AI522" i="1" s="1"/>
  <c r="Z515" i="1"/>
  <c r="Q515" i="1"/>
  <c r="S522" i="1" s="1"/>
  <c r="N515" i="1"/>
  <c r="BE514" i="1"/>
  <c r="BA514" i="1"/>
  <c r="AL514" i="1"/>
  <c r="AR514" i="1" s="1"/>
  <c r="AG514" i="1"/>
  <c r="AI521" i="1" s="1"/>
  <c r="Z514" i="1"/>
  <c r="Q514" i="1"/>
  <c r="N514" i="1"/>
  <c r="BE513" i="1"/>
  <c r="BA513" i="1"/>
  <c r="AL513" i="1"/>
  <c r="AR513" i="1" s="1"/>
  <c r="AG513" i="1"/>
  <c r="AI520" i="1" s="1"/>
  <c r="Z513" i="1"/>
  <c r="Q513" i="1"/>
  <c r="S520" i="1" s="1"/>
  <c r="N513" i="1"/>
  <c r="BE512" i="1"/>
  <c r="BA512" i="1"/>
  <c r="AL512" i="1"/>
  <c r="AR512" i="1" s="1"/>
  <c r="AG512" i="1"/>
  <c r="Z512" i="1"/>
  <c r="Q512" i="1"/>
  <c r="S519" i="1" s="1"/>
  <c r="N512" i="1"/>
  <c r="BE511" i="1"/>
  <c r="BA511" i="1"/>
  <c r="AL511" i="1"/>
  <c r="AR511" i="1" s="1"/>
  <c r="AG511" i="1"/>
  <c r="AI518" i="1" s="1"/>
  <c r="Z511" i="1"/>
  <c r="Q511" i="1"/>
  <c r="S518" i="1" s="1"/>
  <c r="N511" i="1"/>
  <c r="BE510" i="1"/>
  <c r="BA510" i="1"/>
  <c r="AL510" i="1"/>
  <c r="AR510" i="1" s="1"/>
  <c r="AG510" i="1"/>
  <c r="AI517" i="1" s="1"/>
  <c r="Z510" i="1"/>
  <c r="Q510" i="1"/>
  <c r="S517" i="1" s="1"/>
  <c r="N510" i="1"/>
  <c r="S517" i="2"/>
  <c r="K517" i="2"/>
  <c r="S516" i="2"/>
  <c r="K516" i="2"/>
  <c r="S515" i="2"/>
  <c r="K515" i="2"/>
  <c r="S514" i="2"/>
  <c r="K514" i="2"/>
  <c r="S513" i="2"/>
  <c r="K513" i="2"/>
  <c r="S512" i="2"/>
  <c r="K512" i="2"/>
  <c r="S511" i="2"/>
  <c r="K511" i="2"/>
  <c r="BU858" i="1"/>
  <c r="BU859" i="1" s="1"/>
  <c r="BE509" i="1"/>
  <c r="BA509" i="1"/>
  <c r="AL509" i="1"/>
  <c r="AR509" i="1" s="1"/>
  <c r="AG509" i="1"/>
  <c r="Z509" i="1"/>
  <c r="Q509" i="1"/>
  <c r="N509" i="1"/>
  <c r="BE508" i="1"/>
  <c r="BA508" i="1"/>
  <c r="AL508" i="1"/>
  <c r="AR508" i="1" s="1"/>
  <c r="AG508" i="1"/>
  <c r="Z508" i="1"/>
  <c r="Q508" i="1"/>
  <c r="N508" i="1"/>
  <c r="BE507" i="1"/>
  <c r="BA507" i="1"/>
  <c r="AL507" i="1"/>
  <c r="AR507" i="1" s="1"/>
  <c r="AG507" i="1"/>
  <c r="Z507" i="1"/>
  <c r="Q507" i="1"/>
  <c r="N507" i="1"/>
  <c r="BE506" i="1"/>
  <c r="BA506" i="1"/>
  <c r="AL506" i="1"/>
  <c r="AR506" i="1" s="1"/>
  <c r="AG506" i="1"/>
  <c r="Z506" i="1"/>
  <c r="Q506" i="1"/>
  <c r="N506" i="1"/>
  <c r="BA505" i="1"/>
  <c r="BV858" i="1"/>
  <c r="BV859" i="1" s="1"/>
  <c r="BE505" i="1"/>
  <c r="AL505" i="1"/>
  <c r="AR505" i="1" s="1"/>
  <c r="AG505" i="1"/>
  <c r="Z505" i="1"/>
  <c r="Q505" i="1"/>
  <c r="N505" i="1"/>
  <c r="BE504" i="1"/>
  <c r="BA504" i="1"/>
  <c r="AL504" i="1"/>
  <c r="AR504" i="1" s="1"/>
  <c r="AG504" i="1"/>
  <c r="Z504" i="1"/>
  <c r="Q504" i="1"/>
  <c r="N504" i="1"/>
  <c r="BE503" i="1"/>
  <c r="BA503" i="1"/>
  <c r="AL503" i="1"/>
  <c r="AR503" i="1" s="1"/>
  <c r="AG503" i="1"/>
  <c r="Z503" i="1"/>
  <c r="Q503" i="1"/>
  <c r="N503" i="1"/>
  <c r="S510" i="2"/>
  <c r="K510" i="2"/>
  <c r="S509" i="2"/>
  <c r="K509" i="2"/>
  <c r="S508" i="2"/>
  <c r="K508" i="2"/>
  <c r="S507" i="2"/>
  <c r="K507" i="2"/>
  <c r="S506" i="2"/>
  <c r="K506" i="2"/>
  <c r="S505" i="2"/>
  <c r="K505" i="2"/>
  <c r="S504" i="2"/>
  <c r="K504" i="2"/>
  <c r="M514" i="2" l="1"/>
  <c r="AI516" i="1"/>
  <c r="AI523" i="1"/>
  <c r="BK515" i="1"/>
  <c r="BM515" i="1" s="1"/>
  <c r="BK518" i="1"/>
  <c r="BM518" i="1" s="1"/>
  <c r="BM522" i="1"/>
  <c r="AI512" i="1"/>
  <c r="AI519" i="1"/>
  <c r="BK520" i="1"/>
  <c r="BM520" i="1" s="1"/>
  <c r="BK521" i="1"/>
  <c r="BM521" i="1" s="1"/>
  <c r="BK519" i="1"/>
  <c r="BM519" i="1" s="1"/>
  <c r="BK517" i="1"/>
  <c r="BM517" i="1" s="1"/>
  <c r="BK516" i="1"/>
  <c r="BM516" i="1" s="1"/>
  <c r="S514" i="1"/>
  <c r="S521" i="1"/>
  <c r="S515" i="1"/>
  <c r="AI511" i="1"/>
  <c r="S513" i="1"/>
  <c r="AI515" i="1"/>
  <c r="AI514" i="1"/>
  <c r="AI513" i="1"/>
  <c r="BK514" i="1"/>
  <c r="BM514" i="1" s="1"/>
  <c r="BK513" i="1"/>
  <c r="BM513" i="1" s="1"/>
  <c r="Q517" i="2"/>
  <c r="M518" i="2"/>
  <c r="Q518" i="2"/>
  <c r="U514" i="2"/>
  <c r="Q510" i="2"/>
  <c r="Q515" i="2"/>
  <c r="U515" i="2"/>
  <c r="Q513" i="2"/>
  <c r="M516" i="2"/>
  <c r="BG516" i="1"/>
  <c r="S516" i="1"/>
  <c r="BG515" i="1"/>
  <c r="BG514" i="1"/>
  <c r="BG513" i="1"/>
  <c r="BK512" i="1"/>
  <c r="BM512" i="1" s="1"/>
  <c r="BK509" i="1"/>
  <c r="BM509" i="1" s="1"/>
  <c r="AI510" i="1"/>
  <c r="BK510" i="1"/>
  <c r="BM510" i="1" s="1"/>
  <c r="BG512" i="1"/>
  <c r="S512" i="1"/>
  <c r="BK511" i="1"/>
  <c r="BG511" i="1"/>
  <c r="S511" i="1"/>
  <c r="BG510" i="1"/>
  <c r="S510" i="1"/>
  <c r="U517" i="2"/>
  <c r="M517" i="2"/>
  <c r="U516" i="2"/>
  <c r="Q516" i="2"/>
  <c r="M515" i="2"/>
  <c r="Q514" i="2"/>
  <c r="U513" i="2"/>
  <c r="M513" i="2"/>
  <c r="U507" i="2"/>
  <c r="Q511" i="2"/>
  <c r="Q508" i="2"/>
  <c r="Q512" i="2"/>
  <c r="U512" i="2"/>
  <c r="M512" i="2"/>
  <c r="U511" i="2"/>
  <c r="M511" i="2"/>
  <c r="BG509" i="1"/>
  <c r="BG508" i="1"/>
  <c r="BG507" i="1"/>
  <c r="BG506" i="1"/>
  <c r="BG505" i="1"/>
  <c r="BG504" i="1"/>
  <c r="BG503" i="1"/>
  <c r="U510" i="2"/>
  <c r="M510" i="2"/>
  <c r="Q506" i="2"/>
  <c r="U508" i="2"/>
  <c r="Q509" i="2"/>
  <c r="U506" i="2"/>
  <c r="U509" i="2"/>
  <c r="M507" i="2"/>
  <c r="M509" i="2"/>
  <c r="M508" i="2"/>
  <c r="Q507" i="2"/>
  <c r="M506" i="2"/>
  <c r="M505" i="2"/>
  <c r="Q505" i="2"/>
  <c r="U505" i="2"/>
  <c r="U504" i="2"/>
  <c r="BM511" i="1" l="1"/>
  <c r="BE502" i="1"/>
  <c r="BA502" i="1"/>
  <c r="BK508" i="1" s="1"/>
  <c r="AL502" i="1"/>
  <c r="AG502" i="1"/>
  <c r="AI509" i="1" s="1"/>
  <c r="Z502" i="1"/>
  <c r="Q502" i="1"/>
  <c r="S509" i="1" s="1"/>
  <c r="N502" i="1"/>
  <c r="BE501" i="1"/>
  <c r="BA501" i="1"/>
  <c r="AL501" i="1"/>
  <c r="AR501" i="1" s="1"/>
  <c r="AG501" i="1"/>
  <c r="AI508" i="1" s="1"/>
  <c r="Z501" i="1"/>
  <c r="Q501" i="1"/>
  <c r="S508" i="1" s="1"/>
  <c r="N501" i="1"/>
  <c r="BE500" i="1"/>
  <c r="BA500" i="1"/>
  <c r="AL500" i="1"/>
  <c r="AR500" i="1" s="1"/>
  <c r="AG500" i="1"/>
  <c r="AI507" i="1" s="1"/>
  <c r="Z500" i="1"/>
  <c r="Q500" i="1"/>
  <c r="S507" i="1" s="1"/>
  <c r="N500" i="1"/>
  <c r="BE499" i="1"/>
  <c r="BA499" i="1"/>
  <c r="AL499" i="1"/>
  <c r="AR499" i="1" s="1"/>
  <c r="AG499" i="1"/>
  <c r="AI506" i="1" s="1"/>
  <c r="Z499" i="1"/>
  <c r="Q499" i="1"/>
  <c r="S506" i="1" s="1"/>
  <c r="N499" i="1"/>
  <c r="BE498" i="1"/>
  <c r="BA498" i="1"/>
  <c r="AL498" i="1"/>
  <c r="AG498" i="1"/>
  <c r="AI505" i="1" s="1"/>
  <c r="Z498" i="1"/>
  <c r="Q498" i="1"/>
  <c r="S505" i="1" s="1"/>
  <c r="N498" i="1"/>
  <c r="BE497" i="1"/>
  <c r="BA497" i="1"/>
  <c r="AL497" i="1"/>
  <c r="AR497" i="1" s="1"/>
  <c r="AG497" i="1"/>
  <c r="AI504" i="1" s="1"/>
  <c r="Z497" i="1"/>
  <c r="Q497" i="1"/>
  <c r="S504" i="1" s="1"/>
  <c r="N497" i="1"/>
  <c r="BE496" i="1"/>
  <c r="BA496" i="1"/>
  <c r="AL496" i="1"/>
  <c r="AR496" i="1" s="1"/>
  <c r="AG496" i="1"/>
  <c r="AI503" i="1" s="1"/>
  <c r="Z496" i="1"/>
  <c r="Q496" i="1"/>
  <c r="S503" i="1" s="1"/>
  <c r="N496" i="1"/>
  <c r="S503" i="2"/>
  <c r="K503" i="2"/>
  <c r="S502" i="2"/>
  <c r="K502" i="2"/>
  <c r="S501" i="2"/>
  <c r="K501" i="2"/>
  <c r="S500" i="2"/>
  <c r="K500" i="2"/>
  <c r="S499" i="2"/>
  <c r="K499" i="2"/>
  <c r="S498" i="2"/>
  <c r="K498" i="2"/>
  <c r="S497" i="2"/>
  <c r="K497" i="2"/>
  <c r="U501" i="2" l="1"/>
  <c r="U500" i="2"/>
  <c r="Q502" i="2"/>
  <c r="Q499" i="2"/>
  <c r="BK507" i="1"/>
  <c r="BM507" i="1" s="1"/>
  <c r="BK504" i="1"/>
  <c r="BM504" i="1" s="1"/>
  <c r="BM508" i="1"/>
  <c r="BK506" i="1"/>
  <c r="BM506" i="1" s="1"/>
  <c r="BK505" i="1"/>
  <c r="BM505" i="1" s="1"/>
  <c r="AR502" i="1"/>
  <c r="BK502" i="1"/>
  <c r="BM502" i="1" s="1"/>
  <c r="BK503" i="1"/>
  <c r="Q498" i="2"/>
  <c r="M503" i="2"/>
  <c r="Q504" i="2"/>
  <c r="M504" i="2"/>
  <c r="Q501" i="2"/>
  <c r="BG502" i="1"/>
  <c r="BG501" i="1"/>
  <c r="BG500" i="1"/>
  <c r="BG499" i="1"/>
  <c r="AR498" i="1"/>
  <c r="BG498" i="1"/>
  <c r="BG497" i="1"/>
  <c r="BG496" i="1"/>
  <c r="U503" i="2"/>
  <c r="Q503" i="2"/>
  <c r="U502" i="2"/>
  <c r="M502" i="2"/>
  <c r="M501" i="2"/>
  <c r="M500" i="2"/>
  <c r="Q500" i="2"/>
  <c r="U499" i="2"/>
  <c r="M499" i="2"/>
  <c r="U498" i="2"/>
  <c r="M498" i="2"/>
  <c r="U497" i="2"/>
  <c r="BM503" i="1" l="1"/>
  <c r="BE495" i="1" l="1"/>
  <c r="BA495" i="1"/>
  <c r="BK501" i="1" s="1"/>
  <c r="BM501" i="1" s="1"/>
  <c r="AL495" i="1"/>
  <c r="AG495" i="1"/>
  <c r="AI502" i="1" s="1"/>
  <c r="Z495" i="1"/>
  <c r="Q495" i="1"/>
  <c r="S502" i="1" s="1"/>
  <c r="N495" i="1"/>
  <c r="BE494" i="1"/>
  <c r="BA494" i="1"/>
  <c r="AL494" i="1"/>
  <c r="AR494" i="1" s="1"/>
  <c r="AG494" i="1"/>
  <c r="AI501" i="1" s="1"/>
  <c r="Z494" i="1"/>
  <c r="Q494" i="1"/>
  <c r="S501" i="1" s="1"/>
  <c r="N494" i="1"/>
  <c r="BE493" i="1"/>
  <c r="BA493" i="1"/>
  <c r="AL493" i="1"/>
  <c r="AR493" i="1" s="1"/>
  <c r="AG493" i="1"/>
  <c r="AI500" i="1" s="1"/>
  <c r="Z493" i="1"/>
  <c r="Q493" i="1"/>
  <c r="S500" i="1" s="1"/>
  <c r="N493" i="1"/>
  <c r="BE492" i="1"/>
  <c r="BA492" i="1"/>
  <c r="AL492" i="1"/>
  <c r="AR492" i="1" s="1"/>
  <c r="AG492" i="1"/>
  <c r="AI499" i="1" s="1"/>
  <c r="Z492" i="1"/>
  <c r="Q492" i="1"/>
  <c r="S499" i="1" s="1"/>
  <c r="N492" i="1"/>
  <c r="BE491" i="1"/>
  <c r="BA491" i="1"/>
  <c r="AL491" i="1"/>
  <c r="AR491" i="1" s="1"/>
  <c r="AG491" i="1"/>
  <c r="AI498" i="1" s="1"/>
  <c r="Z491" i="1"/>
  <c r="Q491" i="1"/>
  <c r="S498" i="1" s="1"/>
  <c r="N491" i="1"/>
  <c r="BE490" i="1"/>
  <c r="BA490" i="1"/>
  <c r="AL490" i="1"/>
  <c r="AR490" i="1" s="1"/>
  <c r="AG490" i="1"/>
  <c r="AI497" i="1" s="1"/>
  <c r="Z490" i="1"/>
  <c r="Q490" i="1"/>
  <c r="S497" i="1" s="1"/>
  <c r="N490" i="1"/>
  <c r="BE489" i="1"/>
  <c r="BA489" i="1"/>
  <c r="AL489" i="1"/>
  <c r="AR489" i="1" s="1"/>
  <c r="AG489" i="1"/>
  <c r="AI496" i="1" s="1"/>
  <c r="Z489" i="1"/>
  <c r="Q489" i="1"/>
  <c r="S496" i="1" s="1"/>
  <c r="N489" i="1"/>
  <c r="S496" i="2"/>
  <c r="K496" i="2"/>
  <c r="S495" i="2"/>
  <c r="K495" i="2"/>
  <c r="S494" i="2"/>
  <c r="K494" i="2"/>
  <c r="S493" i="2"/>
  <c r="K493" i="2"/>
  <c r="S492" i="2"/>
  <c r="K492" i="2"/>
  <c r="S491" i="2"/>
  <c r="K491" i="2"/>
  <c r="S490" i="2"/>
  <c r="K490" i="2"/>
  <c r="M491" i="2" l="1"/>
  <c r="BK500" i="1"/>
  <c r="BM500" i="1" s="1"/>
  <c r="BK499" i="1"/>
  <c r="BM499" i="1" s="1"/>
  <c r="BK498" i="1"/>
  <c r="BM498" i="1" s="1"/>
  <c r="M493" i="2"/>
  <c r="Q496" i="2"/>
  <c r="Q497" i="2"/>
  <c r="M497" i="2"/>
  <c r="BK497" i="1"/>
  <c r="BG491" i="1"/>
  <c r="BK495" i="1"/>
  <c r="BM495" i="1" s="1"/>
  <c r="BK496" i="1"/>
  <c r="U496" i="2"/>
  <c r="Q494" i="2"/>
  <c r="AR495" i="1"/>
  <c r="BG495" i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M497" i="1" l="1"/>
  <c r="BM496" i="1"/>
  <c r="BE488" i="1"/>
  <c r="BA488" i="1"/>
  <c r="BK494" i="1" s="1"/>
  <c r="AL488" i="1"/>
  <c r="AR488" i="1" s="1"/>
  <c r="AG488" i="1"/>
  <c r="AI495" i="1" s="1"/>
  <c r="Z488" i="1"/>
  <c r="Q488" i="1"/>
  <c r="S495" i="1" s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4" i="1" l="1"/>
  <c r="BM484" i="1" s="1"/>
  <c r="BK490" i="1"/>
  <c r="BM490" i="1" s="1"/>
  <c r="Q485" i="2"/>
  <c r="BK482" i="1"/>
  <c r="BM482" i="1" s="1"/>
  <c r="BM494" i="1"/>
  <c r="BK492" i="1"/>
  <c r="BM492" i="1" s="1"/>
  <c r="BK489" i="1"/>
  <c r="BM489" i="1" s="1"/>
  <c r="BK493" i="1"/>
  <c r="BM493" i="1" s="1"/>
  <c r="BK491" i="1"/>
  <c r="BM491" i="1" s="1"/>
  <c r="BK485" i="1"/>
  <c r="BM485" i="1" s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AI485" i="1"/>
  <c r="S485" i="1"/>
  <c r="BG484" i="1"/>
  <c r="S484" i="1"/>
  <c r="BG483" i="1"/>
  <c r="AI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K475" i="1" l="1"/>
  <c r="BM475" i="1" s="1"/>
  <c r="BG470" i="1"/>
  <c r="BK474" i="1"/>
  <c r="BM474" i="1" s="1"/>
  <c r="BK476" i="1"/>
  <c r="BM476" i="1" s="1"/>
  <c r="BG471" i="1"/>
  <c r="CL984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 s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831" i="3"/>
  <c r="AJ829" i="3"/>
  <c r="AJ832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948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949" i="1"/>
  <c r="BG969" i="1"/>
  <c r="BG970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969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S357" i="2"/>
  <c r="AP984" i="1"/>
  <c r="BP970" i="1"/>
  <c r="BG971" i="1" s="1"/>
  <c r="BN967" i="1"/>
  <c r="BP967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948" i="1"/>
  <c r="BP948" i="1" s="1"/>
  <c r="BP950" i="1"/>
  <c r="BP951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971" i="1"/>
  <c r="BG972" i="1" s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968" i="1"/>
  <c r="BP968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BP972" i="1" l="1"/>
  <c r="BY972" i="1" s="1"/>
  <c r="Q358" i="2"/>
  <c r="M357" i="2"/>
  <c r="U357" i="2"/>
  <c r="M358" i="2"/>
  <c r="CL978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BA952" i="1" l="1"/>
  <c r="BG976" i="1"/>
  <c r="BP975" i="1"/>
  <c r="BP977" i="1" s="1"/>
  <c r="AI338" i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U339" i="2" l="1"/>
  <c r="Q340" i="2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943" i="1"/>
  <c r="N945" i="1" s="1"/>
  <c r="N946" i="1" l="1"/>
  <c r="D946" i="1" s="1"/>
  <c r="N947" i="1"/>
  <c r="N948" i="1"/>
  <c r="D947" i="1" l="1"/>
  <c r="D948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934" i="1"/>
  <c r="BG934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l="1"/>
  <c r="Q247" i="2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879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864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858" i="1"/>
  <c r="G859" i="1" s="1"/>
  <c r="F858" i="1"/>
  <c r="F859" i="1" s="1"/>
  <c r="E858" i="1"/>
  <c r="E859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882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221" i="1" l="1"/>
  <c r="S213" i="1"/>
  <c r="S205" i="1"/>
  <c r="S197" i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879" i="1" l="1"/>
  <c r="AR878" i="1"/>
  <c r="AP878" i="1"/>
  <c r="AR877" i="1"/>
  <c r="AP877" i="1"/>
  <c r="AV877" i="1" l="1"/>
  <c r="AV878" i="1"/>
  <c r="AV879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923" i="1"/>
  <c r="N214" i="1"/>
  <c r="N204" i="1"/>
  <c r="BA922" i="1" s="1"/>
  <c r="N174" i="1"/>
  <c r="BA921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922" i="1" l="1"/>
  <c r="BE922" i="1" s="1"/>
  <c r="Q218" i="2"/>
  <c r="BC923" i="1"/>
  <c r="BE923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891" i="1"/>
  <c r="H891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910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l="1"/>
  <c r="M199" i="2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863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861" i="1"/>
  <c r="BK864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911" i="1"/>
  <c r="AP912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906" i="1"/>
  <c r="H907" i="1"/>
  <c r="J907" i="1" s="1"/>
  <c r="H908" i="1"/>
  <c r="J908" i="1" s="1"/>
  <c r="S154" i="2"/>
  <c r="M156" i="2" l="1"/>
  <c r="Q156" i="2"/>
  <c r="O908" i="1"/>
  <c r="AI154" i="1"/>
  <c r="AI161" i="1"/>
  <c r="BK160" i="1"/>
  <c r="BM160" i="1" s="1"/>
  <c r="AR154" i="1"/>
  <c r="BG154" i="1"/>
  <c r="U155" i="2"/>
  <c r="J906" i="1"/>
  <c r="J913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909" i="1"/>
  <c r="AA908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AL151" i="1"/>
  <c r="AR151" i="1" s="1"/>
  <c r="Q151" i="1"/>
  <c r="S158" i="1" s="1"/>
  <c r="BK157" i="1" l="1"/>
  <c r="BM157" i="1" s="1"/>
  <c r="AR152" i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846" i="3"/>
  <c r="F847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884" i="1" l="1"/>
  <c r="AR876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883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888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875" i="1" s="1"/>
  <c r="AH113" i="1"/>
  <c r="AP875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875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895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D118" i="1"/>
  <c r="N124" i="1" s="1"/>
  <c r="D116" i="1"/>
  <c r="D115" i="1"/>
  <c r="D114" i="1"/>
  <c r="V508" i="1" l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AH145" i="1"/>
  <c r="N143" i="1"/>
  <c r="AG882" i="1"/>
  <c r="AP876" i="1" s="1"/>
  <c r="AV876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V527" i="1" l="1"/>
  <c r="V528" i="1" s="1"/>
  <c r="V529" i="1" s="1"/>
  <c r="BA920" i="1"/>
  <c r="BC921" i="1" s="1"/>
  <c r="BE921" i="1" s="1"/>
  <c r="BE932" i="1"/>
  <c r="BE936" i="1" s="1"/>
  <c r="S127" i="1"/>
  <c r="S128" i="1"/>
  <c r="BE119" i="1"/>
  <c r="BA119" i="1"/>
  <c r="AL119" i="1"/>
  <c r="AR119" i="1" s="1"/>
  <c r="Q119" i="1"/>
  <c r="S126" i="1" s="1"/>
  <c r="K120" i="2"/>
  <c r="V530" i="1" l="1"/>
  <c r="V531" i="1" s="1"/>
  <c r="V532" i="1" s="1"/>
  <c r="V533" i="1" s="1"/>
  <c r="V534" i="1" s="1"/>
  <c r="V535" i="1" s="1"/>
  <c r="V536" i="1" s="1"/>
  <c r="V537" i="1" s="1"/>
  <c r="V538" i="1" s="1"/>
  <c r="BG923" i="1"/>
  <c r="Q121" i="2"/>
  <c r="M121" i="2"/>
  <c r="BG119" i="1"/>
  <c r="U120" i="2"/>
  <c r="S119" i="2"/>
  <c r="V539" i="1" l="1"/>
  <c r="V540" i="1" s="1"/>
  <c r="V541" i="1" s="1"/>
  <c r="V542" i="1" s="1"/>
  <c r="V543" i="1" s="1"/>
  <c r="BE118" i="1"/>
  <c r="BA118" i="1"/>
  <c r="AL118" i="1"/>
  <c r="AR118" i="1" s="1"/>
  <c r="Q118" i="1"/>
  <c r="S125" i="1" s="1"/>
  <c r="K119" i="2"/>
  <c r="V544" i="1" l="1"/>
  <c r="V545" i="1" s="1"/>
  <c r="V546" i="1" s="1"/>
  <c r="Q120" i="2"/>
  <c r="M120" i="2"/>
  <c r="BK124" i="1"/>
  <c r="BM124" i="1" s="1"/>
  <c r="BG118" i="1"/>
  <c r="U119" i="2"/>
  <c r="V547" i="1" l="1"/>
  <c r="S118" i="2"/>
  <c r="K118" i="2"/>
  <c r="BE117" i="1"/>
  <c r="BA117" i="1"/>
  <c r="AL117" i="1"/>
  <c r="AR117" i="1" s="1"/>
  <c r="AG117" i="1"/>
  <c r="Q117" i="1"/>
  <c r="S124" i="1" s="1"/>
  <c r="V548" i="1" l="1"/>
  <c r="V549" i="1" s="1"/>
  <c r="V550" i="1" s="1"/>
  <c r="V551" i="1" s="1"/>
  <c r="V552" i="1" s="1"/>
  <c r="V553" i="1" s="1"/>
  <c r="Q119" i="2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V554" i="1" l="1"/>
  <c r="V555" i="1" s="1"/>
  <c r="V556" i="1" s="1"/>
  <c r="V557" i="1" s="1"/>
  <c r="Q117" i="2"/>
  <c r="Q118" i="2"/>
  <c r="BG116" i="1"/>
  <c r="U117" i="2"/>
  <c r="M117" i="2"/>
  <c r="U116" i="2"/>
  <c r="BG115" i="1"/>
  <c r="V558" i="1" l="1"/>
  <c r="BE114" i="1"/>
  <c r="BA114" i="1"/>
  <c r="AL114" i="1"/>
  <c r="AR114" i="1" s="1"/>
  <c r="K115" i="2"/>
  <c r="S114" i="2"/>
  <c r="V559" i="1" l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Q116" i="2"/>
  <c r="M116" i="2"/>
  <c r="U115" i="2"/>
  <c r="BG114" i="1"/>
  <c r="V572" i="1" l="1"/>
  <c r="V573" i="1" s="1"/>
  <c r="V574" i="1" s="1"/>
  <c r="V575" i="1" s="1"/>
  <c r="V576" i="1" s="1"/>
  <c r="V577" i="1" s="1"/>
  <c r="BE113" i="1"/>
  <c r="BA113" i="1"/>
  <c r="BA932" i="1" s="1"/>
  <c r="AL113" i="1"/>
  <c r="K114" i="2"/>
  <c r="V578" i="1" l="1"/>
  <c r="BA936" i="1"/>
  <c r="BC934" i="1"/>
  <c r="BG932" i="1"/>
  <c r="M115" i="2"/>
  <c r="Q115" i="2"/>
  <c r="AR113" i="1"/>
  <c r="BG113" i="1"/>
  <c r="U114" i="2"/>
  <c r="V579" i="1" l="1"/>
  <c r="V580" i="1" s="1"/>
  <c r="V581" i="1" s="1"/>
  <c r="V582" i="1" s="1"/>
  <c r="V583" i="1" s="1"/>
  <c r="V584" i="1" s="1"/>
  <c r="V585" i="1" s="1"/>
  <c r="S113" i="2"/>
  <c r="BE112" i="1"/>
  <c r="BA112" i="1"/>
  <c r="AL112" i="1"/>
  <c r="K113" i="2"/>
  <c r="V586" i="1" l="1"/>
  <c r="V587" i="1" s="1"/>
  <c r="V588" i="1" s="1"/>
  <c r="V589" i="1" s="1"/>
  <c r="V590" i="1" s="1"/>
  <c r="V591" i="1" s="1"/>
  <c r="V592" i="1" s="1"/>
  <c r="M114" i="2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V593" i="1" l="1"/>
  <c r="V594" i="1" s="1"/>
  <c r="V595" i="1" s="1"/>
  <c r="V596" i="1" s="1"/>
  <c r="V597" i="1" s="1"/>
  <c r="V598" i="1" s="1"/>
  <c r="V599" i="1" s="1"/>
  <c r="S112" i="2"/>
  <c r="V600" i="1" l="1"/>
  <c r="BE111" i="1"/>
  <c r="K112" i="2"/>
  <c r="V601" i="1" l="1"/>
  <c r="Q113" i="2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V602" i="1" l="1"/>
  <c r="Q111" i="2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V603" i="1" l="1"/>
  <c r="V604" i="1" s="1"/>
  <c r="V605" i="1" s="1"/>
  <c r="V606" i="1" s="1"/>
  <c r="V607" i="1" s="1"/>
  <c r="V608" i="1" s="1"/>
  <c r="V609" i="1" s="1"/>
  <c r="V610" i="1" s="1"/>
  <c r="Q110" i="2"/>
  <c r="M110" i="2"/>
  <c r="AR111" i="1"/>
  <c r="BG111" i="1"/>
  <c r="BG110" i="1"/>
  <c r="U109" i="2"/>
  <c r="BG108" i="1"/>
  <c r="V611" i="1" l="1"/>
  <c r="V612" i="1" s="1"/>
  <c r="V613" i="1" s="1"/>
  <c r="V614" i="1" s="1"/>
  <c r="V615" i="1" s="1"/>
  <c r="V616" i="1" s="1"/>
  <c r="S108" i="2"/>
  <c r="V617" i="1" l="1"/>
  <c r="V618" i="1" s="1"/>
  <c r="V619" i="1" s="1"/>
  <c r="V620" i="1" s="1"/>
  <c r="BE107" i="1"/>
  <c r="AL107" i="1"/>
  <c r="AR107" i="1" s="1"/>
  <c r="K108" i="2"/>
  <c r="AA61" i="3"/>
  <c r="BC106" i="1"/>
  <c r="BA107" i="1" s="1"/>
  <c r="AA828" i="3"/>
  <c r="AA827" i="3"/>
  <c r="AA826" i="3"/>
  <c r="AA825" i="3"/>
  <c r="AA824" i="3"/>
  <c r="AA823" i="3"/>
  <c r="AA822" i="3"/>
  <c r="AA821" i="3"/>
  <c r="AA820" i="3"/>
  <c r="AA819" i="3"/>
  <c r="Y829" i="3"/>
  <c r="W829" i="3"/>
  <c r="S107" i="2"/>
  <c r="V621" i="1" l="1"/>
  <c r="V622" i="1" s="1"/>
  <c r="V623" i="1" s="1"/>
  <c r="V624" i="1" s="1"/>
  <c r="V625" i="1" s="1"/>
  <c r="V626" i="1" s="1"/>
  <c r="V627" i="1" s="1"/>
  <c r="V628" i="1" s="1"/>
  <c r="AA829" i="3"/>
  <c r="AA832" i="3" s="1"/>
  <c r="Q109" i="2"/>
  <c r="M109" i="2"/>
  <c r="BG107" i="1"/>
  <c r="U108" i="2"/>
  <c r="BE106" i="1"/>
  <c r="BA106" i="1"/>
  <c r="AL106" i="1"/>
  <c r="AR106" i="1" s="1"/>
  <c r="K107" i="2"/>
  <c r="Q108" i="2" s="1"/>
  <c r="M108" i="2" l="1"/>
  <c r="V629" i="1"/>
  <c r="U829" i="3"/>
  <c r="BG106" i="1"/>
  <c r="U107" i="2"/>
  <c r="V630" i="1" l="1"/>
  <c r="V631" i="1" s="1"/>
  <c r="V632" i="1" s="1"/>
  <c r="V633" i="1" s="1"/>
  <c r="S106" i="2"/>
  <c r="BE105" i="1"/>
  <c r="BA105" i="1"/>
  <c r="AL105" i="1"/>
  <c r="AR105" i="1" s="1"/>
  <c r="K106" i="2"/>
  <c r="S105" i="2"/>
  <c r="V634" i="1" l="1"/>
  <c r="V635" i="1" s="1"/>
  <c r="V636" i="1" s="1"/>
  <c r="V637" i="1" s="1"/>
  <c r="V638" i="1" s="1"/>
  <c r="V639" i="1" s="1"/>
  <c r="V640" i="1" s="1"/>
  <c r="Q107" i="2"/>
  <c r="M107" i="2"/>
  <c r="BG105" i="1"/>
  <c r="U106" i="2"/>
  <c r="V641" i="1" l="1"/>
  <c r="BE104" i="1"/>
  <c r="BA104" i="1"/>
  <c r="BK110" i="1" s="1"/>
  <c r="BM110" i="1" s="1"/>
  <c r="AL104" i="1"/>
  <c r="AR104" i="1" s="1"/>
  <c r="K105" i="2"/>
  <c r="V642" i="1" l="1"/>
  <c r="Q106" i="2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V643" i="1" l="1"/>
  <c r="V644" i="1" s="1"/>
  <c r="V645" i="1" s="1"/>
  <c r="V646" i="1" s="1"/>
  <c r="V647" i="1" s="1"/>
  <c r="V648" i="1" s="1"/>
  <c r="V649" i="1" s="1"/>
  <c r="V650" i="1" s="1"/>
  <c r="V651" i="1" s="1"/>
  <c r="Q105" i="2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V652" i="1" l="1"/>
  <c r="V653" i="1" s="1"/>
  <c r="V654" i="1" s="1"/>
  <c r="V655" i="1" s="1"/>
  <c r="M104" i="2"/>
  <c r="Q103" i="2"/>
  <c r="BG102" i="1"/>
  <c r="U103" i="2"/>
  <c r="M103" i="2"/>
  <c r="BG101" i="1"/>
  <c r="U102" i="2"/>
  <c r="V656" i="1" l="1"/>
  <c r="BE100" i="1"/>
  <c r="BA100" i="1"/>
  <c r="AL100" i="1"/>
  <c r="K101" i="2"/>
  <c r="S100" i="2"/>
  <c r="V657" i="1" l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Q102" i="2"/>
  <c r="M102" i="2"/>
  <c r="AR100" i="1"/>
  <c r="BG100" i="1"/>
  <c r="U101" i="2"/>
  <c r="BE99" i="1"/>
  <c r="BA99" i="1"/>
  <c r="AL99" i="1"/>
  <c r="AR99" i="1" s="1"/>
  <c r="K100" i="2"/>
  <c r="V668" i="1" l="1"/>
  <c r="V669" i="1" s="1"/>
  <c r="V670" i="1" s="1"/>
  <c r="V671" i="1" s="1"/>
  <c r="Q101" i="2"/>
  <c r="M101" i="2"/>
  <c r="BG99" i="1"/>
  <c r="U100" i="2"/>
  <c r="V672" i="1" l="1"/>
  <c r="V673" i="1" s="1"/>
  <c r="S99" i="2"/>
  <c r="BE98" i="1"/>
  <c r="BA98" i="1"/>
  <c r="AL98" i="1"/>
  <c r="AR98" i="1" s="1"/>
  <c r="K99" i="2"/>
  <c r="V674" i="1" l="1"/>
  <c r="V675" i="1" s="1"/>
  <c r="V676" i="1" s="1"/>
  <c r="V677" i="1" s="1"/>
  <c r="V678" i="1" s="1"/>
  <c r="V679" i="1" s="1"/>
  <c r="V680" i="1" s="1"/>
  <c r="V681" i="1" s="1"/>
  <c r="V682" i="1" s="1"/>
  <c r="V683" i="1" s="1"/>
  <c r="V684" i="1" s="1"/>
  <c r="V685" i="1" s="1"/>
  <c r="M100" i="2"/>
  <c r="Q100" i="2"/>
  <c r="BG98" i="1"/>
  <c r="U99" i="2"/>
  <c r="S98" i="2"/>
  <c r="V686" i="1" l="1"/>
  <c r="V687" i="1" s="1"/>
  <c r="V688" i="1" s="1"/>
  <c r="V689" i="1" s="1"/>
  <c r="BE97" i="1"/>
  <c r="BA97" i="1"/>
  <c r="AL97" i="1"/>
  <c r="AR97" i="1" s="1"/>
  <c r="K98" i="2"/>
  <c r="V690" i="1" l="1"/>
  <c r="V691" i="1" s="1"/>
  <c r="V692" i="1" s="1"/>
  <c r="Q99" i="2"/>
  <c r="M99" i="2"/>
  <c r="BK103" i="1"/>
  <c r="BM103" i="1" s="1"/>
  <c r="BG97" i="1"/>
  <c r="U98" i="2"/>
  <c r="V693" i="1" l="1"/>
  <c r="V694" i="1" s="1"/>
  <c r="V695" i="1" s="1"/>
  <c r="V696" i="1" s="1"/>
  <c r="V697" i="1" s="1"/>
  <c r="Q96" i="1"/>
  <c r="BE96" i="1"/>
  <c r="BA96" i="1"/>
  <c r="AL96" i="1"/>
  <c r="AR96" i="1" s="1"/>
  <c r="AG96" i="1"/>
  <c r="S97" i="2"/>
  <c r="K97" i="2"/>
  <c r="S96" i="2"/>
  <c r="K96" i="2"/>
  <c r="V698" i="1" l="1"/>
  <c r="V699" i="1" s="1"/>
  <c r="AI103" i="1"/>
  <c r="S103" i="1"/>
  <c r="Q97" i="2"/>
  <c r="Q98" i="2"/>
  <c r="M98" i="2"/>
  <c r="BG96" i="1"/>
  <c r="U97" i="2"/>
  <c r="M97" i="2"/>
  <c r="U96" i="2"/>
  <c r="V700" i="1" l="1"/>
  <c r="BE95" i="1"/>
  <c r="BA95" i="1"/>
  <c r="AL95" i="1"/>
  <c r="AR95" i="1" s="1"/>
  <c r="S95" i="2"/>
  <c r="V701" i="1" l="1"/>
  <c r="BG95" i="1"/>
  <c r="BE94" i="1"/>
  <c r="BA94" i="1"/>
  <c r="AL94" i="1"/>
  <c r="AR94" i="1" s="1"/>
  <c r="K95" i="2"/>
  <c r="V702" i="1" l="1"/>
  <c r="V703" i="1" s="1"/>
  <c r="Q96" i="2"/>
  <c r="M96" i="2"/>
  <c r="BG94" i="1"/>
  <c r="U95" i="2"/>
  <c r="V704" i="1" l="1"/>
  <c r="V705" i="1" s="1"/>
  <c r="V706" i="1" s="1"/>
  <c r="V707" i="1" s="1"/>
  <c r="V708" i="1" s="1"/>
  <c r="V709" i="1" s="1"/>
  <c r="V710" i="1" s="1"/>
  <c r="V711" i="1" s="1"/>
  <c r="S94" i="2"/>
  <c r="V712" i="1" l="1"/>
  <c r="BE93" i="1"/>
  <c r="BA93" i="1"/>
  <c r="AL93" i="1"/>
  <c r="AR93" i="1" s="1"/>
  <c r="K94" i="2"/>
  <c r="V713" i="1" l="1"/>
  <c r="V714" i="1" s="1"/>
  <c r="V715" i="1" s="1"/>
  <c r="V716" i="1" s="1"/>
  <c r="V717" i="1" s="1"/>
  <c r="V718" i="1" s="1"/>
  <c r="M95" i="2"/>
  <c r="Q95" i="2"/>
  <c r="BG93" i="1"/>
  <c r="U94" i="2"/>
  <c r="S93" i="2"/>
  <c r="K93" i="2"/>
  <c r="BE92" i="1"/>
  <c r="BA92" i="1"/>
  <c r="AL92" i="1"/>
  <c r="AR92" i="1" s="1"/>
  <c r="V719" i="1" l="1"/>
  <c r="V720" i="1" s="1"/>
  <c r="V721" i="1" s="1"/>
  <c r="V722" i="1" s="1"/>
  <c r="M94" i="2"/>
  <c r="Q94" i="2"/>
  <c r="U93" i="2"/>
  <c r="BG92" i="1"/>
  <c r="V723" i="1" l="1"/>
  <c r="V724" i="1" s="1"/>
  <c r="V725" i="1" s="1"/>
  <c r="V726" i="1" s="1"/>
  <c r="V727" i="1" s="1"/>
  <c r="V728" i="1" s="1"/>
  <c r="V729" i="1" s="1"/>
  <c r="V730" i="1" s="1"/>
  <c r="S92" i="2"/>
  <c r="V731" i="1" l="1"/>
  <c r="BE91" i="1"/>
  <c r="BA91" i="1"/>
  <c r="AL91" i="1"/>
  <c r="AR91" i="1" s="1"/>
  <c r="K92" i="2"/>
  <c r="V732" i="1" l="1"/>
  <c r="V733" i="1" s="1"/>
  <c r="M93" i="2"/>
  <c r="Q93" i="2"/>
  <c r="BG91" i="1"/>
  <c r="U92" i="2"/>
  <c r="S91" i="2"/>
  <c r="V734" i="1" l="1"/>
  <c r="V735" i="1" s="1"/>
  <c r="V736" i="1" s="1"/>
  <c r="V737" i="1" s="1"/>
  <c r="V738" i="1" s="1"/>
  <c r="V739" i="1" s="1"/>
  <c r="V740" i="1" s="1"/>
  <c r="V741" i="1" s="1"/>
  <c r="BE90" i="1"/>
  <c r="BA90" i="1"/>
  <c r="BK96" i="1" s="1"/>
  <c r="BM96" i="1" s="1"/>
  <c r="AL90" i="1"/>
  <c r="AR90" i="1" s="1"/>
  <c r="K91" i="2"/>
  <c r="V742" i="1" l="1"/>
  <c r="V743" i="1" s="1"/>
  <c r="Q92" i="2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V744" i="1" l="1"/>
  <c r="V745" i="1" s="1"/>
  <c r="V746" i="1" s="1"/>
  <c r="S54" i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V747" i="1" l="1"/>
  <c r="V748" i="1" s="1"/>
  <c r="V749" i="1" s="1"/>
  <c r="V750" i="1" s="1"/>
  <c r="V751" i="1" s="1"/>
  <c r="V752" i="1" s="1"/>
  <c r="V753" i="1" s="1"/>
  <c r="V754" i="1" s="1"/>
  <c r="V755" i="1" s="1"/>
  <c r="Q90" i="2"/>
  <c r="M90" i="2"/>
  <c r="BG88" i="1"/>
  <c r="U89" i="2"/>
  <c r="S88" i="2"/>
  <c r="V756" i="1" l="1"/>
  <c r="BE87" i="1"/>
  <c r="BA87" i="1"/>
  <c r="AL87" i="1"/>
  <c r="AR87" i="1" s="1"/>
  <c r="K88" i="2"/>
  <c r="V757" i="1" l="1"/>
  <c r="Q89" i="2"/>
  <c r="M89" i="2"/>
  <c r="BG87" i="1"/>
  <c r="U88" i="2"/>
  <c r="S87" i="2"/>
  <c r="K87" i="2"/>
  <c r="Q88" i="2" s="1"/>
  <c r="BE86" i="1"/>
  <c r="BA86" i="1"/>
  <c r="AL86" i="1"/>
  <c r="AR86" i="1" s="1"/>
  <c r="V758" i="1" l="1"/>
  <c r="V759" i="1" s="1"/>
  <c r="V760" i="1" s="1"/>
  <c r="U87" i="2"/>
  <c r="M88" i="2"/>
  <c r="BG86" i="1"/>
  <c r="S86" i="2"/>
  <c r="V761" i="1" l="1"/>
  <c r="V762" i="1" s="1"/>
  <c r="V763" i="1" s="1"/>
  <c r="V764" i="1" s="1"/>
  <c r="V765" i="1" s="1"/>
  <c r="V766" i="1" s="1"/>
  <c r="V767" i="1" s="1"/>
  <c r="V768" i="1" s="1"/>
  <c r="V769" i="1" s="1"/>
  <c r="V770" i="1" s="1"/>
  <c r="BE85" i="1"/>
  <c r="BA85" i="1"/>
  <c r="AL85" i="1"/>
  <c r="AR85" i="1" s="1"/>
  <c r="K86" i="2"/>
  <c r="V771" i="1" l="1"/>
  <c r="Q87" i="2"/>
  <c r="M87" i="2"/>
  <c r="BG85" i="1"/>
  <c r="U86" i="2"/>
  <c r="S85" i="2"/>
  <c r="V772" i="1" l="1"/>
  <c r="V773" i="1" s="1"/>
  <c r="V774" i="1" s="1"/>
  <c r="V775" i="1" s="1"/>
  <c r="V776" i="1" s="1"/>
  <c r="V777" i="1" s="1"/>
  <c r="V778" i="1" s="1"/>
  <c r="K85" i="2"/>
  <c r="BE84" i="1"/>
  <c r="BA84" i="1"/>
  <c r="AL84" i="1"/>
  <c r="AR84" i="1" s="1"/>
  <c r="V779" i="1" l="1"/>
  <c r="V780" i="1" s="1"/>
  <c r="V781" i="1" s="1"/>
  <c r="Q86" i="2"/>
  <c r="M86" i="2"/>
  <c r="U85" i="2"/>
  <c r="BG84" i="1"/>
  <c r="V782" i="1" l="1"/>
  <c r="V783" i="1" s="1"/>
  <c r="V784" i="1" s="1"/>
  <c r="V785" i="1" s="1"/>
  <c r="V786" i="1" s="1"/>
  <c r="V787" i="1" s="1"/>
  <c r="V788" i="1" s="1"/>
  <c r="V789" i="1" s="1"/>
  <c r="V790" i="1" s="1"/>
  <c r="V791" i="1" s="1"/>
  <c r="BE83" i="1"/>
  <c r="BA83" i="1"/>
  <c r="AL83" i="1"/>
  <c r="AR83" i="1" s="1"/>
  <c r="S84" i="2"/>
  <c r="K84" i="2"/>
  <c r="F840" i="3"/>
  <c r="F843" i="3" s="1"/>
  <c r="S83" i="2"/>
  <c r="V792" i="1" l="1"/>
  <c r="V793" i="1" s="1"/>
  <c r="V794" i="1" s="1"/>
  <c r="V795" i="1" s="1"/>
  <c r="BK89" i="1"/>
  <c r="BM89" i="1" s="1"/>
  <c r="BK112" i="1"/>
  <c r="Q85" i="2"/>
  <c r="M85" i="2"/>
  <c r="BG83" i="1"/>
  <c r="U84" i="2"/>
  <c r="V796" i="1" l="1"/>
  <c r="V797" i="1" s="1"/>
  <c r="V798" i="1" s="1"/>
  <c r="W78" i="1"/>
  <c r="K83" i="2"/>
  <c r="BE82" i="1"/>
  <c r="BA82" i="1"/>
  <c r="AL82" i="1"/>
  <c r="S82" i="2"/>
  <c r="K82" i="2"/>
  <c r="BE81" i="1"/>
  <c r="BA81" i="1"/>
  <c r="AL81" i="1"/>
  <c r="V799" i="1" l="1"/>
  <c r="V800" i="1" s="1"/>
  <c r="V801" i="1" s="1"/>
  <c r="V802" i="1" s="1"/>
  <c r="V803" i="1" s="1"/>
  <c r="V804" i="1" s="1"/>
  <c r="V805" i="1" s="1"/>
  <c r="V806" i="1" s="1"/>
  <c r="V807" i="1" s="1"/>
  <c r="AG82" i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V808" i="1" l="1"/>
  <c r="V809" i="1" s="1"/>
  <c r="V810" i="1" s="1"/>
  <c r="V811" i="1" s="1"/>
  <c r="V812" i="1" s="1"/>
  <c r="AI89" i="1"/>
  <c r="AR874" i="1"/>
  <c r="U81" i="2"/>
  <c r="Q82" i="2"/>
  <c r="BG80" i="1"/>
  <c r="S80" i="2"/>
  <c r="K80" i="2"/>
  <c r="BE79" i="1"/>
  <c r="BA79" i="1"/>
  <c r="AL79" i="1"/>
  <c r="V813" i="1" l="1"/>
  <c r="V814" i="1" s="1"/>
  <c r="V815" i="1" s="1"/>
  <c r="V816" i="1" s="1"/>
  <c r="U80" i="2"/>
  <c r="Q81" i="2"/>
  <c r="M81" i="2"/>
  <c r="AR79" i="1"/>
  <c r="BG79" i="1"/>
  <c r="S79" i="2"/>
  <c r="V817" i="1" l="1"/>
  <c r="V818" i="1" s="1"/>
  <c r="V819" i="1" s="1"/>
  <c r="V820" i="1" s="1"/>
  <c r="K79" i="2"/>
  <c r="BE78" i="1"/>
  <c r="BA78" i="1"/>
  <c r="AL78" i="1"/>
  <c r="AR78" i="1" s="1"/>
  <c r="V821" i="1" l="1"/>
  <c r="V822" i="1" s="1"/>
  <c r="V823" i="1" s="1"/>
  <c r="M80" i="2"/>
  <c r="Q80" i="2"/>
  <c r="U79" i="2"/>
  <c r="BG78" i="1"/>
  <c r="V824" i="1" l="1"/>
  <c r="V825" i="1" s="1"/>
  <c r="V826" i="1" s="1"/>
  <c r="V827" i="1" s="1"/>
  <c r="V828" i="1" s="1"/>
  <c r="V829" i="1" s="1"/>
  <c r="V830" i="1" s="1"/>
  <c r="V831" i="1" s="1"/>
  <c r="V832" i="1" s="1"/>
  <c r="V833" i="1" s="1"/>
  <c r="V834" i="1" s="1"/>
  <c r="V835" i="1" s="1"/>
  <c r="V836" i="1" s="1"/>
  <c r="V837" i="1" s="1"/>
  <c r="V838" i="1" s="1"/>
  <c r="V839" i="1" s="1"/>
  <c r="V840" i="1" s="1"/>
  <c r="V841" i="1" s="1"/>
  <c r="S78" i="2"/>
  <c r="BE77" i="1"/>
  <c r="BA77" i="1"/>
  <c r="AL77" i="1"/>
  <c r="AR77" i="1" s="1"/>
  <c r="K78" i="2"/>
  <c r="V842" i="1" l="1"/>
  <c r="Q79" i="2"/>
  <c r="M79" i="2"/>
  <c r="BG77" i="1"/>
  <c r="U78" i="2"/>
  <c r="BE76" i="1"/>
  <c r="BA76" i="1"/>
  <c r="AL76" i="1"/>
  <c r="AR76" i="1" s="1"/>
  <c r="S77" i="2"/>
  <c r="K77" i="2"/>
  <c r="Q78" i="2" s="1"/>
  <c r="V843" i="1" l="1"/>
  <c r="V844" i="1" s="1"/>
  <c r="V845" i="1" s="1"/>
  <c r="BK82" i="1"/>
  <c r="BK83" i="1"/>
  <c r="M78" i="2"/>
  <c r="BG76" i="1"/>
  <c r="U77" i="2"/>
  <c r="S76" i="2"/>
  <c r="V846" i="1" l="1"/>
  <c r="V847" i="1" s="1"/>
  <c r="V848" i="1" s="1"/>
  <c r="BM82" i="1"/>
  <c r="BE75" i="1"/>
  <c r="BA75" i="1"/>
  <c r="AL75" i="1"/>
  <c r="AR75" i="1" s="1"/>
  <c r="K76" i="2"/>
  <c r="V849" i="1" l="1"/>
  <c r="Q77" i="2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874" i="1"/>
  <c r="AV874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830" i="3" l="1"/>
  <c r="I827" i="3"/>
  <c r="L827" i="3" s="1"/>
  <c r="I78" i="3"/>
  <c r="I80" i="3" s="1"/>
  <c r="I77" i="3"/>
  <c r="BE64" i="1"/>
  <c r="BA64" i="1"/>
  <c r="AL64" i="1"/>
  <c r="AR64" i="1" s="1"/>
  <c r="K65" i="2"/>
  <c r="Y19" i="3"/>
  <c r="Q66" i="2" l="1"/>
  <c r="M66" i="2"/>
  <c r="L830" i="3"/>
  <c r="I79" i="3"/>
  <c r="I81" i="3" s="1"/>
  <c r="I82" i="3" s="1"/>
  <c r="BG64" i="1"/>
  <c r="U65" i="2"/>
  <c r="S64" i="2"/>
  <c r="N81" i="3" l="1"/>
  <c r="N82" i="3" s="1"/>
  <c r="I829" i="3"/>
  <c r="L829" i="3" s="1"/>
  <c r="K64" i="2"/>
  <c r="BE63" i="1"/>
  <c r="BA63" i="1"/>
  <c r="AL63" i="1"/>
  <c r="AR63" i="1" s="1"/>
  <c r="Y18" i="3"/>
  <c r="Q65" i="2" l="1"/>
  <c r="M65" i="2"/>
  <c r="I831" i="3"/>
  <c r="U64" i="2"/>
  <c r="BG63" i="1"/>
  <c r="L820" i="3" l="1"/>
  <c r="L831" i="3"/>
  <c r="L819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870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K34" i="2" s="1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919" i="1"/>
  <c r="B922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W21" i="1"/>
  <c r="W20" i="1"/>
  <c r="W17" i="1"/>
  <c r="W13" i="1"/>
  <c r="W12" i="1"/>
  <c r="W10" i="1"/>
  <c r="AH51" i="1" l="1"/>
  <c r="AR873" i="1" s="1"/>
  <c r="U362" i="3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881" i="1"/>
  <c r="AR883" i="1" s="1"/>
  <c r="AV883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873" i="1"/>
  <c r="AV873" i="1" s="1"/>
  <c r="BA879" i="1" s="1"/>
  <c r="BA880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W856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W497" i="2" s="1"/>
  <c r="W498" i="2" s="1"/>
  <c r="W499" i="2" s="1"/>
  <c r="W500" i="2" s="1"/>
  <c r="W501" i="2" s="1"/>
  <c r="W502" i="2" s="1"/>
  <c r="W503" i="2" s="1"/>
  <c r="W504" i="2" s="1"/>
  <c r="W505" i="2" s="1"/>
  <c r="W506" i="2" s="1"/>
  <c r="W507" i="2" s="1"/>
  <c r="W508" i="2" s="1"/>
  <c r="W509" i="2" s="1"/>
  <c r="W510" i="2" s="1"/>
  <c r="W511" i="2" s="1"/>
  <c r="W512" i="2" s="1"/>
  <c r="W513" i="2" s="1"/>
  <c r="W514" i="2" s="1"/>
  <c r="W515" i="2" s="1"/>
  <c r="W516" i="2" s="1"/>
  <c r="W517" i="2" s="1"/>
  <c r="W518" i="2" s="1"/>
  <c r="W519" i="2" s="1"/>
  <c r="W520" i="2" s="1"/>
  <c r="W521" i="2" s="1"/>
  <c r="W522" i="2" s="1"/>
  <c r="W523" i="2" s="1"/>
  <c r="W524" i="2" s="1"/>
  <c r="W525" i="2" s="1"/>
  <c r="W526" i="2" s="1"/>
  <c r="W527" i="2" s="1"/>
  <c r="W528" i="2" s="1"/>
  <c r="W529" i="2" s="1"/>
  <c r="W530" i="2" s="1"/>
  <c r="W531" i="2" s="1"/>
  <c r="W532" i="2" s="1"/>
  <c r="W533" i="2" s="1"/>
  <c r="W534" i="2" s="1"/>
  <c r="W535" i="2" s="1"/>
  <c r="W536" i="2" s="1"/>
  <c r="W537" i="2" s="1"/>
  <c r="W538" i="2" s="1"/>
  <c r="W539" i="2" s="1"/>
  <c r="W540" i="2" s="1"/>
  <c r="W541" i="2" s="1"/>
  <c r="W542" i="2" s="1"/>
  <c r="W543" i="2" s="1"/>
  <c r="W544" i="2" s="1"/>
  <c r="W545" i="2" s="1"/>
  <c r="W546" i="2" s="1"/>
  <c r="W547" i="2" s="1"/>
  <c r="W548" i="2" s="1"/>
  <c r="W549" i="2" s="1"/>
  <c r="W550" i="2" s="1"/>
  <c r="W551" i="2" s="1"/>
  <c r="W552" i="2" s="1"/>
  <c r="W553" i="2" s="1"/>
  <c r="W554" i="2" s="1"/>
  <c r="W555" i="2" s="1"/>
  <c r="W556" i="2" s="1"/>
  <c r="W557" i="2" s="1"/>
  <c r="W558" i="2" s="1"/>
  <c r="W559" i="2" s="1"/>
  <c r="W560" i="2" s="1"/>
  <c r="W561" i="2" s="1"/>
  <c r="W562" i="2" s="1"/>
  <c r="W563" i="2" s="1"/>
  <c r="W564" i="2" s="1"/>
  <c r="W565" i="2" s="1"/>
  <c r="W566" i="2" s="1"/>
  <c r="W567" i="2" s="1"/>
  <c r="W568" i="2" s="1"/>
  <c r="W569" i="2" s="1"/>
  <c r="W570" i="2" s="1"/>
  <c r="W571" i="2" s="1"/>
  <c r="W572" i="2" s="1"/>
  <c r="W573" i="2" s="1"/>
  <c r="W574" i="2" s="1"/>
  <c r="W575" i="2" s="1"/>
  <c r="W576" i="2" s="1"/>
  <c r="W577" i="2" s="1"/>
  <c r="W578" i="2" s="1"/>
  <c r="W579" i="2" s="1"/>
  <c r="W580" i="2" s="1"/>
  <c r="W581" i="2" s="1"/>
  <c r="W582" i="2" s="1"/>
  <c r="W583" i="2" s="1"/>
  <c r="W584" i="2" s="1"/>
  <c r="W585" i="2" s="1"/>
  <c r="W586" i="2" s="1"/>
  <c r="W587" i="2" s="1"/>
  <c r="W588" i="2" s="1"/>
  <c r="W589" i="2" s="1"/>
  <c r="W590" i="2" s="1"/>
  <c r="W591" i="2" s="1"/>
  <c r="W592" i="2" s="1"/>
  <c r="W593" i="2" s="1"/>
  <c r="W594" i="2" s="1"/>
  <c r="W595" i="2" s="1"/>
  <c r="W596" i="2" s="1"/>
  <c r="W597" i="2" s="1"/>
  <c r="W598" i="2" s="1"/>
  <c r="W599" i="2" s="1"/>
  <c r="W600" i="2" s="1"/>
  <c r="W601" i="2" s="1"/>
  <c r="W602" i="2" s="1"/>
  <c r="W603" i="2" s="1"/>
  <c r="W604" i="2" s="1"/>
  <c r="W605" i="2" s="1"/>
  <c r="W606" i="2" s="1"/>
  <c r="W607" i="2" s="1"/>
  <c r="W608" i="2" s="1"/>
  <c r="W609" i="2" s="1"/>
  <c r="W610" i="2" s="1"/>
  <c r="W611" i="2" s="1"/>
  <c r="W612" i="2" s="1"/>
  <c r="W613" i="2" s="1"/>
  <c r="W614" i="2" s="1"/>
  <c r="W615" i="2" s="1"/>
  <c r="W616" i="2" s="1"/>
  <c r="W617" i="2" s="1"/>
  <c r="W618" i="2" s="1"/>
  <c r="W619" i="2" s="1"/>
  <c r="W620" i="2" s="1"/>
  <c r="W621" i="2" s="1"/>
  <c r="W622" i="2" s="1"/>
  <c r="W623" i="2" s="1"/>
  <c r="W624" i="2" s="1"/>
  <c r="W625" i="2" s="1"/>
  <c r="W626" i="2" s="1"/>
  <c r="W627" i="2" s="1"/>
  <c r="W628" i="2" s="1"/>
  <c r="W629" i="2" s="1"/>
  <c r="W630" i="2" s="1"/>
  <c r="W631" i="2" s="1"/>
  <c r="W632" i="2" s="1"/>
  <c r="W633" i="2" s="1"/>
  <c r="W634" i="2" s="1"/>
  <c r="W635" i="2" s="1"/>
  <c r="W636" i="2" s="1"/>
  <c r="W637" i="2" s="1"/>
  <c r="W638" i="2" s="1"/>
  <c r="W639" i="2" s="1"/>
  <c r="W640" i="2" s="1"/>
  <c r="W641" i="2" s="1"/>
  <c r="W642" i="2" s="1"/>
  <c r="W643" i="2" s="1"/>
  <c r="W644" i="2" s="1"/>
  <c r="W645" i="2" s="1"/>
  <c r="W646" i="2" s="1"/>
  <c r="W647" i="2" s="1"/>
  <c r="W648" i="2" s="1"/>
  <c r="W649" i="2" s="1"/>
  <c r="W650" i="2" s="1"/>
  <c r="W651" i="2" s="1"/>
  <c r="W652" i="2" s="1"/>
  <c r="W653" i="2" s="1"/>
  <c r="W654" i="2" s="1"/>
  <c r="W655" i="2" s="1"/>
  <c r="W656" i="2" s="1"/>
  <c r="W657" i="2" s="1"/>
  <c r="W658" i="2" s="1"/>
  <c r="W659" i="2" s="1"/>
  <c r="W660" i="2" s="1"/>
  <c r="W661" i="2" s="1"/>
  <c r="W662" i="2" s="1"/>
  <c r="W663" i="2" s="1"/>
  <c r="W664" i="2" s="1"/>
  <c r="W665" i="2" s="1"/>
  <c r="W666" i="2" s="1"/>
  <c r="W667" i="2" s="1"/>
  <c r="W668" i="2" s="1"/>
  <c r="W669" i="2" s="1"/>
  <c r="W670" i="2" s="1"/>
  <c r="W671" i="2" s="1"/>
  <c r="W672" i="2" s="1"/>
  <c r="W673" i="2" s="1"/>
  <c r="W674" i="2" s="1"/>
  <c r="W675" i="2" s="1"/>
  <c r="W676" i="2" s="1"/>
  <c r="W677" i="2" s="1"/>
  <c r="W678" i="2" s="1"/>
  <c r="W679" i="2" s="1"/>
  <c r="W680" i="2" s="1"/>
  <c r="W681" i="2" s="1"/>
  <c r="W682" i="2" s="1"/>
  <c r="W683" i="2" s="1"/>
  <c r="W684" i="2" s="1"/>
  <c r="W685" i="2" s="1"/>
  <c r="W686" i="2" s="1"/>
  <c r="W687" i="2" s="1"/>
  <c r="W688" i="2" s="1"/>
  <c r="W689" i="2" s="1"/>
  <c r="W690" i="2" s="1"/>
  <c r="W691" i="2" s="1"/>
  <c r="W692" i="2" s="1"/>
  <c r="W693" i="2" s="1"/>
  <c r="W694" i="2" s="1"/>
  <c r="W695" i="2" s="1"/>
  <c r="W696" i="2" s="1"/>
  <c r="W697" i="2" s="1"/>
  <c r="W698" i="2" s="1"/>
  <c r="W699" i="2" s="1"/>
  <c r="W700" i="2" s="1"/>
  <c r="W701" i="2" s="1"/>
  <c r="W702" i="2" s="1"/>
  <c r="W703" i="2" s="1"/>
  <c r="W704" i="2" s="1"/>
  <c r="W705" i="2" s="1"/>
  <c r="W706" i="2" s="1"/>
  <c r="W707" i="2" s="1"/>
  <c r="W708" i="2" s="1"/>
  <c r="W709" i="2" s="1"/>
  <c r="W710" i="2" s="1"/>
  <c r="W711" i="2" s="1"/>
  <c r="W712" i="2" s="1"/>
  <c r="W713" i="2" s="1"/>
  <c r="W714" i="2" s="1"/>
  <c r="W715" i="2" s="1"/>
  <c r="W716" i="2" s="1"/>
  <c r="W717" i="2" s="1"/>
  <c r="W718" i="2" s="1"/>
  <c r="W719" i="2" s="1"/>
  <c r="W720" i="2" s="1"/>
  <c r="W721" i="2" s="1"/>
  <c r="W722" i="2" s="1"/>
  <c r="W723" i="2" s="1"/>
  <c r="W724" i="2" s="1"/>
  <c r="W725" i="2" s="1"/>
  <c r="W726" i="2" s="1"/>
  <c r="W727" i="2" s="1"/>
  <c r="W728" i="2" s="1"/>
  <c r="W729" i="2" s="1"/>
  <c r="W730" i="2" s="1"/>
  <c r="W731" i="2" s="1"/>
  <c r="W732" i="2" s="1"/>
  <c r="W733" i="2" s="1"/>
  <c r="W734" i="2" s="1"/>
  <c r="W735" i="2" s="1"/>
  <c r="W736" i="2" s="1"/>
  <c r="W737" i="2" s="1"/>
  <c r="W738" i="2" s="1"/>
  <c r="W739" i="2" s="1"/>
  <c r="W740" i="2" s="1"/>
  <c r="W741" i="2" s="1"/>
  <c r="W742" i="2" s="1"/>
  <c r="W743" i="2" s="1"/>
  <c r="W744" i="2" s="1"/>
  <c r="W745" i="2" s="1"/>
  <c r="W746" i="2" s="1"/>
  <c r="W747" i="2" s="1"/>
  <c r="W748" i="2" s="1"/>
  <c r="W749" i="2" s="1"/>
  <c r="W750" i="2" s="1"/>
  <c r="W751" i="2" s="1"/>
  <c r="W752" i="2" s="1"/>
  <c r="W753" i="2" s="1"/>
  <c r="W754" i="2" s="1"/>
  <c r="W755" i="2" s="1"/>
  <c r="W756" i="2" s="1"/>
  <c r="W757" i="2" s="1"/>
  <c r="W758" i="2" s="1"/>
  <c r="W759" i="2" s="1"/>
  <c r="W760" i="2" s="1"/>
  <c r="W761" i="2" s="1"/>
  <c r="W762" i="2" s="1"/>
  <c r="W763" i="2" s="1"/>
  <c r="W764" i="2" s="1"/>
  <c r="W765" i="2" s="1"/>
  <c r="W766" i="2" s="1"/>
  <c r="W767" i="2" s="1"/>
  <c r="W768" i="2" s="1"/>
  <c r="W769" i="2" s="1"/>
  <c r="W770" i="2" s="1"/>
  <c r="W771" i="2" s="1"/>
  <c r="W772" i="2" s="1"/>
  <c r="W773" i="2" s="1"/>
  <c r="W774" i="2" s="1"/>
  <c r="W775" i="2" s="1"/>
  <c r="W776" i="2" s="1"/>
  <c r="W777" i="2" s="1"/>
  <c r="W778" i="2" s="1"/>
  <c r="W779" i="2" s="1"/>
  <c r="W780" i="2" s="1"/>
  <c r="W781" i="2" s="1"/>
  <c r="W782" i="2" s="1"/>
  <c r="W783" i="2" s="1"/>
  <c r="W784" i="2" s="1"/>
  <c r="W785" i="2" s="1"/>
  <c r="W786" i="2" s="1"/>
  <c r="W787" i="2" s="1"/>
  <c r="W788" i="2" s="1"/>
  <c r="W789" i="2" s="1"/>
  <c r="W790" i="2" s="1"/>
  <c r="W791" i="2" s="1"/>
  <c r="W792" i="2" s="1"/>
  <c r="W793" i="2" s="1"/>
  <c r="W794" i="2" s="1"/>
  <c r="W795" i="2" s="1"/>
  <c r="W796" i="2" s="1"/>
  <c r="W797" i="2" s="1"/>
  <c r="W798" i="2" s="1"/>
  <c r="W799" i="2" s="1"/>
  <c r="W800" i="2" s="1"/>
  <c r="W801" i="2" s="1"/>
  <c r="W802" i="2" s="1"/>
  <c r="W803" i="2" s="1"/>
  <c r="W804" i="2" s="1"/>
  <c r="W805" i="2" s="1"/>
  <c r="W806" i="2" s="1"/>
  <c r="W807" i="2" s="1"/>
  <c r="W808" i="2" s="1"/>
  <c r="W809" i="2" s="1"/>
  <c r="W810" i="2" s="1"/>
  <c r="W811" i="2" s="1"/>
  <c r="W812" i="2" s="1"/>
  <c r="W813" i="2" s="1"/>
  <c r="W814" i="2" s="1"/>
  <c r="W815" i="2" s="1"/>
  <c r="W816" i="2" s="1"/>
  <c r="W817" i="2" s="1"/>
  <c r="W818" i="2" s="1"/>
  <c r="W819" i="2" s="1"/>
  <c r="W820" i="2" s="1"/>
  <c r="W821" i="2" s="1"/>
  <c r="W822" i="2" s="1"/>
  <c r="W823" i="2" s="1"/>
  <c r="W824" i="2" s="1"/>
  <c r="W825" i="2" s="1"/>
  <c r="W826" i="2" s="1"/>
  <c r="W827" i="2" s="1"/>
  <c r="W828" i="2" s="1"/>
  <c r="W829" i="2" s="1"/>
  <c r="W830" i="2" s="1"/>
  <c r="W831" i="2" s="1"/>
  <c r="W832" i="2" s="1"/>
  <c r="W833" i="2" s="1"/>
  <c r="W834" i="2" s="1"/>
  <c r="W835" i="2" s="1"/>
  <c r="W836" i="2" s="1"/>
  <c r="W837" i="2" s="1"/>
  <c r="W838" i="2" s="1"/>
  <c r="W839" i="2" s="1"/>
  <c r="W840" i="2" s="1"/>
  <c r="W841" i="2" s="1"/>
  <c r="W842" i="2" s="1"/>
  <c r="W843" i="2" s="1"/>
  <c r="W844" i="2" s="1"/>
  <c r="W845" i="2" s="1"/>
  <c r="W846" i="2" s="1"/>
  <c r="W847" i="2" s="1"/>
  <c r="W848" i="2" s="1"/>
  <c r="W849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C496" i="2" l="1"/>
  <c r="U426" i="3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C497" i="2" l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U430" i="3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C510" i="2" l="1"/>
  <c r="C511" i="2" s="1"/>
  <c r="C512" i="2" s="1"/>
  <c r="U434" i="3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C513" i="2" l="1"/>
  <c r="C514" i="2" s="1"/>
  <c r="C515" i="2" s="1"/>
  <c r="C516" i="2" s="1"/>
  <c r="C517" i="2" s="1"/>
  <c r="U437" i="3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C518" i="2" l="1"/>
  <c r="C519" i="2" s="1"/>
  <c r="C520" i="2" s="1"/>
  <c r="C521" i="2" s="1"/>
  <c r="C522" i="2" s="1"/>
  <c r="U443" i="3"/>
  <c r="U444" i="3" s="1"/>
  <c r="U445" i="3" s="1"/>
  <c r="U446" i="3" s="1"/>
  <c r="U447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C523" i="2" l="1"/>
  <c r="C524" i="2" s="1"/>
  <c r="U448" i="3"/>
  <c r="U449" i="3" s="1"/>
  <c r="U450" i="3" s="1"/>
  <c r="U451" i="3" s="1"/>
  <c r="U452" i="3" s="1"/>
  <c r="U453" i="3" s="1"/>
  <c r="U454" i="3" s="1"/>
  <c r="U455" i="3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C525" i="2" l="1"/>
  <c r="C526" i="2" s="1"/>
  <c r="C527" i="2" s="1"/>
  <c r="C528" i="2" s="1"/>
  <c r="C529" i="2" s="1"/>
  <c r="C530" i="2" s="1"/>
  <c r="U456" i="3"/>
  <c r="U457" i="3" s="1"/>
  <c r="U458" i="3" s="1"/>
  <c r="AA24" i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C531" i="2" l="1"/>
  <c r="C532" i="2" s="1"/>
  <c r="C533" i="2" s="1"/>
  <c r="C534" i="2" s="1"/>
  <c r="C535" i="2" s="1"/>
  <c r="C536" i="2" s="1"/>
  <c r="C537" i="2" s="1"/>
  <c r="U459" i="3"/>
  <c r="U460" i="3" s="1"/>
  <c r="U461" i="3" s="1"/>
  <c r="U462" i="3" s="1"/>
  <c r="U463" i="3" s="1"/>
  <c r="AE24" i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C538" i="2" l="1"/>
  <c r="C539" i="2" s="1"/>
  <c r="C540" i="2" s="1"/>
  <c r="C541" i="2" s="1"/>
  <c r="C542" i="2" s="1"/>
  <c r="U464" i="3"/>
  <c r="U465" i="3" s="1"/>
  <c r="U466" i="3" s="1"/>
  <c r="U467" i="3" s="1"/>
  <c r="B283" i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C543" i="2" l="1"/>
  <c r="C544" i="2" s="1"/>
  <c r="C545" i="2" s="1"/>
  <c r="C546" i="2" s="1"/>
  <c r="U468" i="3"/>
  <c r="U469" i="3" s="1"/>
  <c r="U470" i="3" s="1"/>
  <c r="U471" i="3" s="1"/>
  <c r="U472" i="3" s="1"/>
  <c r="U473" i="3" s="1"/>
  <c r="U474" i="3" s="1"/>
  <c r="U475" i="3" s="1"/>
  <c r="U476" i="3" s="1"/>
  <c r="U477" i="3" s="1"/>
  <c r="U478" i="3" s="1"/>
  <c r="U479" i="3" s="1"/>
  <c r="B292" i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C547" i="2" l="1"/>
  <c r="C548" i="2" s="1"/>
  <c r="C549" i="2" s="1"/>
  <c r="C550" i="2" s="1"/>
  <c r="C551" i="2" s="1"/>
  <c r="C552" i="2" s="1"/>
  <c r="U480" i="3"/>
  <c r="B297" i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C553" i="2" l="1"/>
  <c r="C554" i="2" s="1"/>
  <c r="C555" i="2" s="1"/>
  <c r="C556" i="2" s="1"/>
  <c r="U481" i="3"/>
  <c r="U482" i="3" s="1"/>
  <c r="U483" i="3" s="1"/>
  <c r="U484" i="3" s="1"/>
  <c r="B304" i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C557" i="2" l="1"/>
  <c r="C558" i="2" s="1"/>
  <c r="C559" i="2" s="1"/>
  <c r="U485" i="3"/>
  <c r="U486" i="3" s="1"/>
  <c r="U487" i="3" s="1"/>
  <c r="U488" i="3" s="1"/>
  <c r="B311" i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C560" i="2" l="1"/>
  <c r="C561" i="2" s="1"/>
  <c r="C562" i="2" s="1"/>
  <c r="C563" i="2" s="1"/>
  <c r="C564" i="2" s="1"/>
  <c r="C565" i="2" s="1"/>
  <c r="U489" i="3"/>
  <c r="U490" i="3" s="1"/>
  <c r="U491" i="3" s="1"/>
  <c r="U492" i="3" s="1"/>
  <c r="U493" i="3" s="1"/>
  <c r="B318" i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C566" i="2" l="1"/>
  <c r="C567" i="2" s="1"/>
  <c r="C568" i="2" s="1"/>
  <c r="C569" i="2" s="1"/>
  <c r="C570" i="2" s="1"/>
  <c r="C571" i="2" s="1"/>
  <c r="U494" i="3"/>
  <c r="U495" i="3" s="1"/>
  <c r="U496" i="3" s="1"/>
  <c r="U497" i="3" s="1"/>
  <c r="B325" i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C572" i="2" l="1"/>
  <c r="C573" i="2" s="1"/>
  <c r="U498" i="3"/>
  <c r="U499" i="3" s="1"/>
  <c r="U500" i="3" s="1"/>
  <c r="U501" i="3" s="1"/>
  <c r="AE34" i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C574" i="2" l="1"/>
  <c r="C575" i="2" s="1"/>
  <c r="C576" i="2" s="1"/>
  <c r="C577" i="2" s="1"/>
  <c r="U502" i="3"/>
  <c r="U503" i="3" s="1"/>
  <c r="U504" i="3" s="1"/>
  <c r="U505" i="3" s="1"/>
  <c r="B340" i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C578" i="2" l="1"/>
  <c r="C579" i="2" s="1"/>
  <c r="C580" i="2" s="1"/>
  <c r="U506" i="3"/>
  <c r="U507" i="3" s="1"/>
  <c r="U508" i="3" s="1"/>
  <c r="B348" i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C581" i="2" l="1"/>
  <c r="C582" i="2" s="1"/>
  <c r="C583" i="2" s="1"/>
  <c r="C584" i="2" s="1"/>
  <c r="C585" i="2" s="1"/>
  <c r="C586" i="2" s="1"/>
  <c r="C587" i="2" s="1"/>
  <c r="U509" i="3"/>
  <c r="U510" i="3" s="1"/>
  <c r="U511" i="3" s="1"/>
  <c r="U512" i="3" s="1"/>
  <c r="U513" i="3" s="1"/>
  <c r="U514" i="3" s="1"/>
  <c r="U515" i="3" s="1"/>
  <c r="B353" i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C588" i="2" l="1"/>
  <c r="C589" i="2" s="1"/>
  <c r="C590" i="2" s="1"/>
  <c r="U516" i="3"/>
  <c r="U517" i="3" s="1"/>
  <c r="U518" i="3" s="1"/>
  <c r="U519" i="3" s="1"/>
  <c r="B359" i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C591" i="2" l="1"/>
  <c r="C592" i="2" s="1"/>
  <c r="C593" i="2" s="1"/>
  <c r="C594" i="2" s="1"/>
  <c r="C595" i="2" s="1"/>
  <c r="U520" i="3"/>
  <c r="U521" i="3" s="1"/>
  <c r="U522" i="3" s="1"/>
  <c r="U523" i="3" s="1"/>
  <c r="U524" i="3" s="1"/>
  <c r="U525" i="3" s="1"/>
  <c r="B369" i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C596" i="2" l="1"/>
  <c r="C597" i="2" s="1"/>
  <c r="U526" i="3"/>
  <c r="U527" i="3" s="1"/>
  <c r="U528" i="3" s="1"/>
  <c r="U529" i="3" s="1"/>
  <c r="U530" i="3" s="1"/>
  <c r="U531" i="3" s="1"/>
  <c r="U532" i="3" s="1"/>
  <c r="B372" i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C598" i="2" l="1"/>
  <c r="C599" i="2" s="1"/>
  <c r="C600" i="2" s="1"/>
  <c r="C601" i="2" s="1"/>
  <c r="U533" i="3"/>
  <c r="U534" i="3" s="1"/>
  <c r="U535" i="3" s="1"/>
  <c r="U536" i="3" s="1"/>
  <c r="B381" i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C602" i="2" l="1"/>
  <c r="C603" i="2" s="1"/>
  <c r="C604" i="2" s="1"/>
  <c r="C605" i="2" s="1"/>
  <c r="C606" i="2" s="1"/>
  <c r="C607" i="2" s="1"/>
  <c r="C608" i="2" s="1"/>
  <c r="U537" i="3"/>
  <c r="U538" i="3" s="1"/>
  <c r="U539" i="3" s="1"/>
  <c r="U540" i="3" s="1"/>
  <c r="U541" i="3" s="1"/>
  <c r="B391" i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C609" i="2" l="1"/>
  <c r="C610" i="2" s="1"/>
  <c r="C611" i="2" s="1"/>
  <c r="C612" i="2" s="1"/>
  <c r="U542" i="3"/>
  <c r="U543" i="3" s="1"/>
  <c r="U544" i="3" s="1"/>
  <c r="U545" i="3" s="1"/>
  <c r="H42" i="1"/>
  <c r="O42" i="1" s="1"/>
  <c r="J42" i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C613" i="2" l="1"/>
  <c r="C614" i="2" s="1"/>
  <c r="C615" i="2" s="1"/>
  <c r="C616" i="2" s="1"/>
  <c r="AC42" i="1"/>
  <c r="U546" i="3"/>
  <c r="U547" i="3" s="1"/>
  <c r="U548" i="3" s="1"/>
  <c r="B404" i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C617" i="2" l="1"/>
  <c r="C618" i="2" s="1"/>
  <c r="C619" i="2" s="1"/>
  <c r="C620" i="2" s="1"/>
  <c r="C621" i="2" s="1"/>
  <c r="U549" i="3"/>
  <c r="U550" i="3" s="1"/>
  <c r="U551" i="3" s="1"/>
  <c r="U552" i="3" s="1"/>
  <c r="B407" i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C622" i="2" l="1"/>
  <c r="C623" i="2" s="1"/>
  <c r="U553" i="3"/>
  <c r="U554" i="3" s="1"/>
  <c r="U555" i="3" s="1"/>
  <c r="U556" i="3" s="1"/>
  <c r="B412" i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C624" i="2" l="1"/>
  <c r="C625" i="2" s="1"/>
  <c r="C626" i="2" s="1"/>
  <c r="C627" i="2" s="1"/>
  <c r="C628" i="2" s="1"/>
  <c r="U557" i="3"/>
  <c r="U558" i="3" s="1"/>
  <c r="U559" i="3" s="1"/>
  <c r="U560" i="3" s="1"/>
  <c r="B418" i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C629" i="2" l="1"/>
  <c r="C630" i="2" s="1"/>
  <c r="C631" i="2" s="1"/>
  <c r="U561" i="3"/>
  <c r="U562" i="3" s="1"/>
  <c r="U563" i="3" s="1"/>
  <c r="U564" i="3" s="1"/>
  <c r="B421" i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C632" i="2" l="1"/>
  <c r="C633" i="2" s="1"/>
  <c r="C634" i="2" s="1"/>
  <c r="C635" i="2" s="1"/>
  <c r="U565" i="3"/>
  <c r="U566" i="3" s="1"/>
  <c r="U567" i="3" s="1"/>
  <c r="U568" i="3" s="1"/>
  <c r="B426" i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C636" i="2" l="1"/>
  <c r="C637" i="2" s="1"/>
  <c r="C638" i="2" s="1"/>
  <c r="C639" i="2" s="1"/>
  <c r="U569" i="3"/>
  <c r="U570" i="3" s="1"/>
  <c r="U571" i="3" s="1"/>
  <c r="U572" i="3" s="1"/>
  <c r="B430" i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C640" i="2" l="1"/>
  <c r="C641" i="2" s="1"/>
  <c r="C642" i="2" s="1"/>
  <c r="C643" i="2" s="1"/>
  <c r="U573" i="3"/>
  <c r="U574" i="3" s="1"/>
  <c r="U575" i="3" s="1"/>
  <c r="U576" i="3" s="1"/>
  <c r="B434" i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C644" i="2" l="1"/>
  <c r="C645" i="2" s="1"/>
  <c r="C646" i="2" s="1"/>
  <c r="C647" i="2" s="1"/>
  <c r="C648" i="2" s="1"/>
  <c r="C649" i="2" s="1"/>
  <c r="C650" i="2" s="1"/>
  <c r="C651" i="2" s="1"/>
  <c r="U577" i="3"/>
  <c r="U578" i="3" s="1"/>
  <c r="U579" i="3" s="1"/>
  <c r="U580" i="3" s="1"/>
  <c r="B441" i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C652" i="2" l="1"/>
  <c r="C653" i="2" s="1"/>
  <c r="C654" i="2" s="1"/>
  <c r="C655" i="2" s="1"/>
  <c r="C656" i="2" s="1"/>
  <c r="U581" i="3"/>
  <c r="U582" i="3" s="1"/>
  <c r="U583" i="3" s="1"/>
  <c r="U584" i="3" s="1"/>
  <c r="B445" i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C657" i="2" l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U585" i="3"/>
  <c r="U586" i="3" s="1"/>
  <c r="U587" i="3" s="1"/>
  <c r="U588" i="3" s="1"/>
  <c r="B448" i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C707" i="2" l="1"/>
  <c r="C708" i="2" s="1"/>
  <c r="C709" i="2" s="1"/>
  <c r="C710" i="2" s="1"/>
  <c r="U589" i="3"/>
  <c r="U590" i="3" s="1"/>
  <c r="U591" i="3" s="1"/>
  <c r="U592" i="3" s="1"/>
  <c r="B453" i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C711" i="2" l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U593" i="3"/>
  <c r="U594" i="3" s="1"/>
  <c r="U595" i="3" s="1"/>
  <c r="U596" i="3" s="1"/>
  <c r="B457" i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C722" i="2" l="1"/>
  <c r="C723" i="2" s="1"/>
  <c r="C724" i="2" s="1"/>
  <c r="C725" i="2" s="1"/>
  <c r="C726" i="2" s="1"/>
  <c r="C727" i="2" s="1"/>
  <c r="U597" i="3"/>
  <c r="U598" i="3" s="1"/>
  <c r="U599" i="3" s="1"/>
  <c r="B462" i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C728" i="2" l="1"/>
  <c r="C729" i="2" s="1"/>
  <c r="C730" i="2" s="1"/>
  <c r="C731" i="2" s="1"/>
  <c r="C732" i="2" s="1"/>
  <c r="C733" i="2" s="1"/>
  <c r="U600" i="3"/>
  <c r="U601" i="3" s="1"/>
  <c r="U602" i="3" s="1"/>
  <c r="U603" i="3" s="1"/>
  <c r="U604" i="3" s="1"/>
  <c r="B473" i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C734" i="2" l="1"/>
  <c r="C735" i="2" s="1"/>
  <c r="U605" i="3"/>
  <c r="U606" i="3" s="1"/>
  <c r="U607" i="3" s="1"/>
  <c r="U608" i="3" s="1"/>
  <c r="B475" i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C736" i="2" l="1"/>
  <c r="C737" i="2" s="1"/>
  <c r="C738" i="2" s="1"/>
  <c r="U609" i="3"/>
  <c r="U610" i="3" s="1"/>
  <c r="U611" i="3" s="1"/>
  <c r="B482" i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C739" i="2" l="1"/>
  <c r="C740" i="2" s="1"/>
  <c r="C741" i="2" s="1"/>
  <c r="U612" i="3"/>
  <c r="U613" i="3" s="1"/>
  <c r="U614" i="3" s="1"/>
  <c r="U615" i="3" s="1"/>
  <c r="U616" i="3" s="1"/>
  <c r="U617" i="3" s="1"/>
  <c r="U618" i="3" s="1"/>
  <c r="U619" i="3" s="1"/>
  <c r="U620" i="3" s="1"/>
  <c r="B485" i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C742" i="2" l="1"/>
  <c r="C743" i="2" s="1"/>
  <c r="C744" i="2" s="1"/>
  <c r="C745" i="2" s="1"/>
  <c r="C746" i="2" s="1"/>
  <c r="U621" i="3"/>
  <c r="U622" i="3" s="1"/>
  <c r="U623" i="3" s="1"/>
  <c r="U624" i="3" s="1"/>
  <c r="B489" i="1"/>
  <c r="B490" i="1" s="1"/>
  <c r="B491" i="1" s="1"/>
  <c r="B492" i="1" s="1"/>
  <c r="B493" i="1" s="1"/>
  <c r="B494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C747" i="2" l="1"/>
  <c r="C748" i="2" s="1"/>
  <c r="C749" i="2" s="1"/>
  <c r="U625" i="3"/>
  <c r="U626" i="3" s="1"/>
  <c r="U627" i="3" s="1"/>
  <c r="U628" i="3" s="1"/>
  <c r="B495" i="1"/>
  <c r="B496" i="1" s="1"/>
  <c r="B497" i="1" s="1"/>
  <c r="B498" i="1" s="1"/>
  <c r="BW117" i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C750" i="2" l="1"/>
  <c r="C751" i="2" s="1"/>
  <c r="C752" i="2" s="1"/>
  <c r="C753" i="2" s="1"/>
  <c r="C754" i="2" s="1"/>
  <c r="U629" i="3"/>
  <c r="U630" i="3" s="1"/>
  <c r="U631" i="3" s="1"/>
  <c r="U632" i="3" s="1"/>
  <c r="U633" i="3" s="1"/>
  <c r="U634" i="3" s="1"/>
  <c r="B499" i="1"/>
  <c r="B500" i="1" s="1"/>
  <c r="B501" i="1" s="1"/>
  <c r="B502" i="1" s="1"/>
  <c r="B503" i="1" s="1"/>
  <c r="BW118" i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C755" i="2" l="1"/>
  <c r="C756" i="2" s="1"/>
  <c r="C757" i="2" s="1"/>
  <c r="C758" i="2" s="1"/>
  <c r="C759" i="2" s="1"/>
  <c r="C760" i="2" s="1"/>
  <c r="U635" i="3"/>
  <c r="U636" i="3" s="1"/>
  <c r="U637" i="3" s="1"/>
  <c r="U638" i="3" s="1"/>
  <c r="B504" i="1"/>
  <c r="B505" i="1" s="1"/>
  <c r="B506" i="1" s="1"/>
  <c r="B507" i="1" s="1"/>
  <c r="B508" i="1" s="1"/>
  <c r="BW119" i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C761" i="2" l="1"/>
  <c r="C762" i="2" s="1"/>
  <c r="C763" i="2" s="1"/>
  <c r="U639" i="3"/>
  <c r="U640" i="3" s="1"/>
  <c r="U641" i="3" s="1"/>
  <c r="B509" i="1"/>
  <c r="B510" i="1" s="1"/>
  <c r="B511" i="1" s="1"/>
  <c r="B512" i="1" s="1"/>
  <c r="BW120" i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C764" i="2" l="1"/>
  <c r="C765" i="2" s="1"/>
  <c r="C766" i="2" s="1"/>
  <c r="C767" i="2" s="1"/>
  <c r="C768" i="2" s="1"/>
  <c r="C769" i="2" s="1"/>
  <c r="U642" i="3"/>
  <c r="U643" i="3" s="1"/>
  <c r="U644" i="3" s="1"/>
  <c r="B513" i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W121" i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C770" i="2" l="1"/>
  <c r="U645" i="3"/>
  <c r="U646" i="3" s="1"/>
  <c r="U647" i="3" s="1"/>
  <c r="B528" i="1"/>
  <c r="B529" i="1" s="1"/>
  <c r="B530" i="1" s="1"/>
  <c r="AX122" i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C771" i="2" l="1"/>
  <c r="C772" i="2" s="1"/>
  <c r="C773" i="2" s="1"/>
  <c r="C774" i="2" s="1"/>
  <c r="U648" i="3"/>
  <c r="U649" i="3" s="1"/>
  <c r="U650" i="3" s="1"/>
  <c r="U651" i="3" s="1"/>
  <c r="B531" i="1"/>
  <c r="B532" i="1" s="1"/>
  <c r="B533" i="1" s="1"/>
  <c r="B534" i="1" s="1"/>
  <c r="BW124" i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C775" i="2" l="1"/>
  <c r="C776" i="2" s="1"/>
  <c r="C777" i="2" s="1"/>
  <c r="C778" i="2" s="1"/>
  <c r="C779" i="2" s="1"/>
  <c r="C780" i="2" s="1"/>
  <c r="C781" i="2" s="1"/>
  <c r="U652" i="3"/>
  <c r="U653" i="3" s="1"/>
  <c r="U654" i="3" s="1"/>
  <c r="B535" i="1"/>
  <c r="B536" i="1" s="1"/>
  <c r="B537" i="1" s="1"/>
  <c r="B538" i="1" s="1"/>
  <c r="B539" i="1" s="1"/>
  <c r="BW125" i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C782" i="2" l="1"/>
  <c r="C783" i="2" s="1"/>
  <c r="C784" i="2" s="1"/>
  <c r="U655" i="3"/>
  <c r="U656" i="3" s="1"/>
  <c r="U657" i="3" s="1"/>
  <c r="U658" i="3" s="1"/>
  <c r="B540" i="1"/>
  <c r="B541" i="1" s="1"/>
  <c r="B542" i="1" s="1"/>
  <c r="B543" i="1" s="1"/>
  <c r="B544" i="1" s="1"/>
  <c r="BW126" i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C785" i="2" l="1"/>
  <c r="C786" i="2" s="1"/>
  <c r="C787" i="2" s="1"/>
  <c r="C788" i="2" s="1"/>
  <c r="C789" i="2" s="1"/>
  <c r="C790" i="2" s="1"/>
  <c r="U659" i="3"/>
  <c r="U660" i="3" s="1"/>
  <c r="U661" i="3" s="1"/>
  <c r="B545" i="1"/>
  <c r="B546" i="1" s="1"/>
  <c r="B547" i="1" s="1"/>
  <c r="B548" i="1" s="1"/>
  <c r="BW127" i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C791" i="2" l="1"/>
  <c r="C792" i="2" s="1"/>
  <c r="U662" i="3"/>
  <c r="U663" i="3" s="1"/>
  <c r="U664" i="3" s="1"/>
  <c r="U665" i="3" s="1"/>
  <c r="U666" i="3" s="1"/>
  <c r="B549" i="1"/>
  <c r="B550" i="1" s="1"/>
  <c r="B551" i="1" s="1"/>
  <c r="B552" i="1" s="1"/>
  <c r="B553" i="1" s="1"/>
  <c r="B554" i="1" s="1"/>
  <c r="BW128" i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C793" i="2" l="1"/>
  <c r="C794" i="2" s="1"/>
  <c r="C795" i="2" s="1"/>
  <c r="C796" i="2" s="1"/>
  <c r="C797" i="2" s="1"/>
  <c r="U667" i="3"/>
  <c r="U668" i="3" s="1"/>
  <c r="U669" i="3" s="1"/>
  <c r="B555" i="1"/>
  <c r="B556" i="1" s="1"/>
  <c r="B557" i="1" s="1"/>
  <c r="B558" i="1" s="1"/>
  <c r="B559" i="1" s="1"/>
  <c r="BN129" i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C798" i="2" l="1"/>
  <c r="U670" i="3"/>
  <c r="U671" i="3" s="1"/>
  <c r="U672" i="3" s="1"/>
  <c r="U673" i="3" s="1"/>
  <c r="U674" i="3" s="1"/>
  <c r="B560" i="1"/>
  <c r="B561" i="1" s="1"/>
  <c r="B562" i="1" s="1"/>
  <c r="B563" i="1" s="1"/>
  <c r="B564" i="1" s="1"/>
  <c r="BW131" i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C799" i="2" l="1"/>
  <c r="C800" i="2" s="1"/>
  <c r="C801" i="2" s="1"/>
  <c r="C802" i="2" s="1"/>
  <c r="C803" i="2" s="1"/>
  <c r="C804" i="2" s="1"/>
  <c r="U675" i="3"/>
  <c r="U676" i="3" s="1"/>
  <c r="U677" i="3" s="1"/>
  <c r="U678" i="3" s="1"/>
  <c r="B565" i="1"/>
  <c r="B566" i="1" s="1"/>
  <c r="B567" i="1" s="1"/>
  <c r="B568" i="1" s="1"/>
  <c r="B569" i="1" s="1"/>
  <c r="BW132" i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C805" i="2" l="1"/>
  <c r="C806" i="2" s="1"/>
  <c r="U679" i="3"/>
  <c r="U680" i="3" s="1"/>
  <c r="U681" i="3" s="1"/>
  <c r="U682" i="3" s="1"/>
  <c r="U683" i="3" s="1"/>
  <c r="U684" i="3" s="1"/>
  <c r="U685" i="3" s="1"/>
  <c r="U686" i="3" s="1"/>
  <c r="B570" i="1"/>
  <c r="B571" i="1" s="1"/>
  <c r="B572" i="1" s="1"/>
  <c r="B573" i="1" s="1"/>
  <c r="BW133" i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C807" i="2" l="1"/>
  <c r="C808" i="2" s="1"/>
  <c r="C809" i="2" s="1"/>
  <c r="C810" i="2" s="1"/>
  <c r="U687" i="3"/>
  <c r="U688" i="3" s="1"/>
  <c r="B574" i="1"/>
  <c r="B575" i="1" s="1"/>
  <c r="B576" i="1" s="1"/>
  <c r="B577" i="1" s="1"/>
  <c r="B578" i="1" s="1"/>
  <c r="B579" i="1" s="1"/>
  <c r="BW134" i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C811" i="2" l="1"/>
  <c r="C812" i="2" s="1"/>
  <c r="C813" i="2" s="1"/>
  <c r="C814" i="2" s="1"/>
  <c r="C815" i="2" s="1"/>
  <c r="U689" i="3"/>
  <c r="U690" i="3" s="1"/>
  <c r="U691" i="3" s="1"/>
  <c r="U692" i="3" s="1"/>
  <c r="U693" i="3" s="1"/>
  <c r="B580" i="1"/>
  <c r="B581" i="1" s="1"/>
  <c r="B582" i="1" s="1"/>
  <c r="BN134" i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C816" i="2" l="1"/>
  <c r="C817" i="2" s="1"/>
  <c r="C818" i="2" s="1"/>
  <c r="C819" i="2" s="1"/>
  <c r="U694" i="3"/>
  <c r="U695" i="3" s="1"/>
  <c r="U696" i="3" s="1"/>
  <c r="B583" i="1"/>
  <c r="B584" i="1" s="1"/>
  <c r="B585" i="1" s="1"/>
  <c r="B586" i="1" s="1"/>
  <c r="BN135" i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C820" i="2" l="1"/>
  <c r="C821" i="2" s="1"/>
  <c r="U697" i="3"/>
  <c r="U698" i="3" s="1"/>
  <c r="U699" i="3" s="1"/>
  <c r="U700" i="3" s="1"/>
  <c r="B587" i="1"/>
  <c r="B588" i="1" s="1"/>
  <c r="B589" i="1" s="1"/>
  <c r="BN136" i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C822" i="2" l="1"/>
  <c r="C823" i="2" s="1"/>
  <c r="C824" i="2" s="1"/>
  <c r="C825" i="2" s="1"/>
  <c r="C826" i="2" s="1"/>
  <c r="U701" i="3"/>
  <c r="U702" i="3" s="1"/>
  <c r="U703" i="3" s="1"/>
  <c r="U704" i="3" s="1"/>
  <c r="U705" i="3" s="1"/>
  <c r="B590" i="1"/>
  <c r="B591" i="1" s="1"/>
  <c r="B592" i="1" s="1"/>
  <c r="B593" i="1" s="1"/>
  <c r="BW138" i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C827" i="2" l="1"/>
  <c r="C828" i="2" s="1"/>
  <c r="C829" i="2" s="1"/>
  <c r="C830" i="2" s="1"/>
  <c r="C831" i="2" s="1"/>
  <c r="C832" i="2" s="1"/>
  <c r="C833" i="2" s="1"/>
  <c r="C834" i="2" s="1"/>
  <c r="C835" i="2" s="1"/>
  <c r="U706" i="3"/>
  <c r="U707" i="3" s="1"/>
  <c r="U708" i="3" s="1"/>
  <c r="U709" i="3" s="1"/>
  <c r="B594" i="1"/>
  <c r="B595" i="1" s="1"/>
  <c r="B596" i="1" s="1"/>
  <c r="B597" i="1" s="1"/>
  <c r="B598" i="1" s="1"/>
  <c r="B599" i="1" s="1"/>
  <c r="B600" i="1" s="1"/>
  <c r="BW141" i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C836" i="2" l="1"/>
  <c r="C837" i="2" s="1"/>
  <c r="C838" i="2" s="1"/>
  <c r="C839" i="2" s="1"/>
  <c r="C840" i="2" s="1"/>
  <c r="C841" i="2" s="1"/>
  <c r="C842" i="2" s="1"/>
  <c r="C843" i="2" s="1"/>
  <c r="C844" i="2" s="1"/>
  <c r="C845" i="2" s="1"/>
  <c r="C846" i="2" s="1"/>
  <c r="U710" i="3"/>
  <c r="U711" i="3" s="1"/>
  <c r="U712" i="3" s="1"/>
  <c r="B601" i="1"/>
  <c r="B602" i="1" s="1"/>
  <c r="B603" i="1" s="1"/>
  <c r="AX141" i="1"/>
  <c r="BW142" i="1"/>
  <c r="BN141" i="1"/>
  <c r="BR117" i="1"/>
  <c r="BP118" i="1"/>
  <c r="AE97" i="1"/>
  <c r="AA98" i="1"/>
  <c r="AV84" i="1"/>
  <c r="J85" i="1"/>
  <c r="H85" i="1"/>
  <c r="O84" i="1"/>
  <c r="AC84" i="1"/>
  <c r="C847" i="2" l="1"/>
  <c r="C848" i="2" s="1"/>
  <c r="C849" i="2" s="1"/>
  <c r="C856" i="2" s="1"/>
  <c r="U713" i="3"/>
  <c r="U714" i="3" s="1"/>
  <c r="U715" i="3" s="1"/>
  <c r="U716" i="3" s="1"/>
  <c r="B604" i="1"/>
  <c r="B605" i="1" s="1"/>
  <c r="B606" i="1" s="1"/>
  <c r="B607" i="1" s="1"/>
  <c r="AX142" i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U717" i="3" l="1"/>
  <c r="U718" i="3" s="1"/>
  <c r="U719" i="3" s="1"/>
  <c r="U720" i="3" s="1"/>
  <c r="U721" i="3" s="1"/>
  <c r="U722" i="3" s="1"/>
  <c r="U723" i="3" s="1"/>
  <c r="U724" i="3" s="1"/>
  <c r="U725" i="3" s="1"/>
  <c r="U726" i="3" s="1"/>
  <c r="U727" i="3" s="1"/>
  <c r="U728" i="3" s="1"/>
  <c r="U729" i="3" s="1"/>
  <c r="B608" i="1"/>
  <c r="B609" i="1" s="1"/>
  <c r="B610" i="1" s="1"/>
  <c r="B611" i="1" s="1"/>
  <c r="BW144" i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U730" i="3" l="1"/>
  <c r="U731" i="3" s="1"/>
  <c r="B612" i="1"/>
  <c r="B613" i="1" s="1"/>
  <c r="B614" i="1" s="1"/>
  <c r="BW145" i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U732" i="3" l="1"/>
  <c r="U733" i="3" s="1"/>
  <c r="U734" i="3" s="1"/>
  <c r="B615" i="1"/>
  <c r="B616" i="1" s="1"/>
  <c r="B617" i="1" s="1"/>
  <c r="AX146" i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U735" i="3" l="1"/>
  <c r="U736" i="3" s="1"/>
  <c r="U737" i="3" s="1"/>
  <c r="U738" i="3" s="1"/>
  <c r="B618" i="1"/>
  <c r="B619" i="1" s="1"/>
  <c r="B620" i="1" s="1"/>
  <c r="B621" i="1" s="1"/>
  <c r="B622" i="1" s="1"/>
  <c r="AX147" i="1"/>
  <c r="BN147" i="1"/>
  <c r="BW148" i="1"/>
  <c r="BP125" i="1"/>
  <c r="BR124" i="1"/>
  <c r="AE103" i="1"/>
  <c r="AA104" i="1"/>
  <c r="J90" i="1"/>
  <c r="H90" i="1"/>
  <c r="O89" i="1"/>
  <c r="AV89" i="1"/>
  <c r="AC89" i="1"/>
  <c r="U739" i="3" l="1"/>
  <c r="U740" i="3" s="1"/>
  <c r="U741" i="3" s="1"/>
  <c r="U742" i="3" s="1"/>
  <c r="B623" i="1"/>
  <c r="B624" i="1" s="1"/>
  <c r="B625" i="1" s="1"/>
  <c r="B626" i="1" s="1"/>
  <c r="BW149" i="1"/>
  <c r="AX148" i="1"/>
  <c r="BN148" i="1"/>
  <c r="BR125" i="1"/>
  <c r="BP126" i="1"/>
  <c r="AE104" i="1"/>
  <c r="AA105" i="1"/>
  <c r="J91" i="1"/>
  <c r="H91" i="1"/>
  <c r="AV90" i="1"/>
  <c r="O90" i="1"/>
  <c r="AC90" i="1"/>
  <c r="U743" i="3" l="1"/>
  <c r="U744" i="3" s="1"/>
  <c r="U745" i="3" s="1"/>
  <c r="B627" i="1"/>
  <c r="B628" i="1" s="1"/>
  <c r="B629" i="1" s="1"/>
  <c r="B630" i="1" s="1"/>
  <c r="BW150" i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U746" i="3" l="1"/>
  <c r="U747" i="3" s="1"/>
  <c r="U748" i="3" s="1"/>
  <c r="B631" i="1"/>
  <c r="B632" i="1" s="1"/>
  <c r="B633" i="1" s="1"/>
  <c r="B634" i="1" s="1"/>
  <c r="BN151" i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831" i="3"/>
  <c r="Y832" i="3" s="1"/>
  <c r="O92" i="1"/>
  <c r="H93" i="1"/>
  <c r="J93" i="1"/>
  <c r="AC92" i="1"/>
  <c r="AV92" i="1"/>
  <c r="U749" i="3" l="1"/>
  <c r="U750" i="3" s="1"/>
  <c r="U751" i="3" s="1"/>
  <c r="U752" i="3" s="1"/>
  <c r="B635" i="1"/>
  <c r="B636" i="1" s="1"/>
  <c r="BW153" i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U753" i="3" l="1"/>
  <c r="U754" i="3" s="1"/>
  <c r="B637" i="1"/>
  <c r="B638" i="1" s="1"/>
  <c r="B639" i="1" s="1"/>
  <c r="B640" i="1" s="1"/>
  <c r="B641" i="1" s="1"/>
  <c r="BN154" i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U755" i="3" l="1"/>
  <c r="U756" i="3" s="1"/>
  <c r="U757" i="3" s="1"/>
  <c r="U758" i="3" s="1"/>
  <c r="U759" i="3" s="1"/>
  <c r="B642" i="1"/>
  <c r="B643" i="1" s="1"/>
  <c r="B644" i="1" s="1"/>
  <c r="BW157" i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U760" i="3" l="1"/>
  <c r="U761" i="3" s="1"/>
  <c r="B645" i="1"/>
  <c r="B646" i="1" s="1"/>
  <c r="B647" i="1" s="1"/>
  <c r="B648" i="1" s="1"/>
  <c r="B649" i="1" s="1"/>
  <c r="BW158" i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U762" i="3" l="1"/>
  <c r="U763" i="3" s="1"/>
  <c r="U764" i="3" s="1"/>
  <c r="U765" i="3" s="1"/>
  <c r="B650" i="1"/>
  <c r="B651" i="1" s="1"/>
  <c r="B652" i="1" s="1"/>
  <c r="AX158" i="1"/>
  <c r="BN158" i="1"/>
  <c r="BW159" i="1"/>
  <c r="BR135" i="1"/>
  <c r="BP136" i="1"/>
  <c r="AA116" i="1"/>
  <c r="AE115" i="1"/>
  <c r="O97" i="1"/>
  <c r="H98" i="1"/>
  <c r="J98" i="1"/>
  <c r="AV97" i="1"/>
  <c r="AC97" i="1"/>
  <c r="U766" i="3" l="1"/>
  <c r="U767" i="3" s="1"/>
  <c r="U768" i="3" s="1"/>
  <c r="B653" i="1"/>
  <c r="B654" i="1" s="1"/>
  <c r="B655" i="1" s="1"/>
  <c r="B656" i="1" s="1"/>
  <c r="B657" i="1" s="1"/>
  <c r="BW160" i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U769" i="3" l="1"/>
  <c r="U770" i="3" s="1"/>
  <c r="U771" i="3" s="1"/>
  <c r="U772" i="3" s="1"/>
  <c r="B658" i="1"/>
  <c r="B659" i="1" s="1"/>
  <c r="B660" i="1" s="1"/>
  <c r="B661" i="1" s="1"/>
  <c r="BN160" i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U773" i="3" l="1"/>
  <c r="U774" i="3" s="1"/>
  <c r="B662" i="1"/>
  <c r="B663" i="1" s="1"/>
  <c r="B664" i="1" s="1"/>
  <c r="BN161" i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U775" i="3" l="1"/>
  <c r="U776" i="3" s="1"/>
  <c r="U777" i="3" s="1"/>
  <c r="U778" i="3" s="1"/>
  <c r="U779" i="3" s="1"/>
  <c r="U780" i="3" s="1"/>
  <c r="B665" i="1"/>
  <c r="B666" i="1" s="1"/>
  <c r="B667" i="1" s="1"/>
  <c r="B668" i="1" s="1"/>
  <c r="BW164" i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U781" i="3" l="1"/>
  <c r="U782" i="3" s="1"/>
  <c r="B669" i="1"/>
  <c r="B670" i="1" s="1"/>
  <c r="B671" i="1" s="1"/>
  <c r="B672" i="1" s="1"/>
  <c r="AX164" i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U783" i="3" l="1"/>
  <c r="U784" i="3" s="1"/>
  <c r="U785" i="3" s="1"/>
  <c r="U786" i="3" s="1"/>
  <c r="U787" i="3" s="1"/>
  <c r="B673" i="1"/>
  <c r="B674" i="1" s="1"/>
  <c r="B675" i="1" s="1"/>
  <c r="AX165" i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U788" i="3" l="1"/>
  <c r="U789" i="3" s="1"/>
  <c r="U790" i="3" s="1"/>
  <c r="U791" i="3" s="1"/>
  <c r="U792" i="3" s="1"/>
  <c r="U793" i="3" s="1"/>
  <c r="U794" i="3" s="1"/>
  <c r="U795" i="3" s="1"/>
  <c r="B676" i="1"/>
  <c r="B677" i="1" s="1"/>
  <c r="B678" i="1" s="1"/>
  <c r="B679" i="1" s="1"/>
  <c r="AX166" i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U796" i="3" l="1"/>
  <c r="U797" i="3" s="1"/>
  <c r="U798" i="3" s="1"/>
  <c r="U799" i="3" s="1"/>
  <c r="B680" i="1"/>
  <c r="B681" i="1" s="1"/>
  <c r="BW168" i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U800" i="3" l="1"/>
  <c r="U801" i="3" s="1"/>
  <c r="U802" i="3" s="1"/>
  <c r="B682" i="1"/>
  <c r="B683" i="1" s="1"/>
  <c r="BN169" i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831" i="3"/>
  <c r="W832" i="3" s="1"/>
  <c r="AC106" i="1"/>
  <c r="U803" i="3" l="1"/>
  <c r="U804" i="3" s="1"/>
  <c r="U805" i="3" s="1"/>
  <c r="U806" i="3" s="1"/>
  <c r="U807" i="3" s="1"/>
  <c r="U811" i="3" s="1"/>
  <c r="B684" i="1"/>
  <c r="B685" i="1" s="1"/>
  <c r="B686" i="1" s="1"/>
  <c r="BW171" i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687" i="1" l="1"/>
  <c r="B688" i="1" s="1"/>
  <c r="B689" i="1" s="1"/>
  <c r="B690" i="1" s="1"/>
  <c r="BW172" i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691" i="1" l="1"/>
  <c r="B692" i="1" s="1"/>
  <c r="B693" i="1" s="1"/>
  <c r="BN172" i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694" i="1" l="1"/>
  <c r="B695" i="1" s="1"/>
  <c r="B696" i="1" s="1"/>
  <c r="B697" i="1" s="1"/>
  <c r="B698" i="1" s="1"/>
  <c r="BN174" i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699" i="1" l="1"/>
  <c r="B700" i="1" s="1"/>
  <c r="B701" i="1" s="1"/>
  <c r="B702" i="1" s="1"/>
  <c r="BW176" i="1"/>
  <c r="BN175" i="1"/>
  <c r="AX175" i="1"/>
  <c r="BP158" i="1"/>
  <c r="BR157" i="1"/>
  <c r="AA135" i="1"/>
  <c r="AE134" i="1"/>
  <c r="J112" i="1"/>
  <c r="H112" i="1"/>
  <c r="O111" i="1"/>
  <c r="AC111" i="1"/>
  <c r="AV111" i="1"/>
  <c r="B703" i="1" l="1"/>
  <c r="B704" i="1" s="1"/>
  <c r="BW177" i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705" i="1" l="1"/>
  <c r="BW178" i="1"/>
  <c r="BN177" i="1"/>
  <c r="AX177" i="1"/>
  <c r="BR159" i="1"/>
  <c r="BP160" i="1"/>
  <c r="AA137" i="1"/>
  <c r="AE136" i="1"/>
  <c r="J114" i="1"/>
  <c r="O113" i="1"/>
  <c r="AV113" i="1"/>
  <c r="AC113" i="1"/>
  <c r="B706" i="1" l="1"/>
  <c r="B707" i="1" s="1"/>
  <c r="B708" i="1" s="1"/>
  <c r="B709" i="1" s="1"/>
  <c r="B710" i="1" s="1"/>
  <c r="BW179" i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711" i="1" l="1"/>
  <c r="B712" i="1" s="1"/>
  <c r="B713" i="1" s="1"/>
  <c r="BW180" i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714" i="1" l="1"/>
  <c r="B715" i="1" s="1"/>
  <c r="B716" i="1" s="1"/>
  <c r="B717" i="1" s="1"/>
  <c r="B718" i="1" s="1"/>
  <c r="B719" i="1" s="1"/>
  <c r="BW181" i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720" i="1" l="1"/>
  <c r="B721" i="1" s="1"/>
  <c r="B722" i="1" s="1"/>
  <c r="B723" i="1" s="1"/>
  <c r="BN182" i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724" i="1" l="1"/>
  <c r="B725" i="1" s="1"/>
  <c r="B726" i="1" s="1"/>
  <c r="B727" i="1" s="1"/>
  <c r="B728" i="1" s="1"/>
  <c r="BW184" i="1"/>
  <c r="BN183" i="1"/>
  <c r="AX183" i="1"/>
  <c r="BR165" i="1"/>
  <c r="BP166" i="1"/>
  <c r="AE143" i="1"/>
  <c r="AA144" i="1"/>
  <c r="H119" i="1"/>
  <c r="J119" i="1"/>
  <c r="O118" i="1"/>
  <c r="AC118" i="1"/>
  <c r="AV118" i="1"/>
  <c r="B729" i="1" l="1"/>
  <c r="B730" i="1" s="1"/>
  <c r="B731" i="1" s="1"/>
  <c r="B732" i="1" s="1"/>
  <c r="BN184" i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733" i="1" l="1"/>
  <c r="B734" i="1" s="1"/>
  <c r="BW186" i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735" i="1" l="1"/>
  <c r="B736" i="1" s="1"/>
  <c r="B737" i="1" s="1"/>
  <c r="B738" i="1" s="1"/>
  <c r="BW187" i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739" i="1" l="1"/>
  <c r="B740" i="1" s="1"/>
  <c r="B741" i="1" s="1"/>
  <c r="B742" i="1" s="1"/>
  <c r="BW189" i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743" i="1" l="1"/>
  <c r="B744" i="1" s="1"/>
  <c r="BN189" i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745" i="1" l="1"/>
  <c r="B746" i="1" s="1"/>
  <c r="B747" i="1" s="1"/>
  <c r="BW191" i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748" i="1" l="1"/>
  <c r="B749" i="1" s="1"/>
  <c r="B750" i="1" s="1"/>
  <c r="B751" i="1" s="1"/>
  <c r="B752" i="1" s="1"/>
  <c r="BW192" i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753" i="1" l="1"/>
  <c r="B754" i="1" s="1"/>
  <c r="B755" i="1" s="1"/>
  <c r="B756" i="1" s="1"/>
  <c r="BN192" i="1"/>
  <c r="AX192" i="1"/>
  <c r="BW193" i="1"/>
  <c r="BP177" i="1"/>
  <c r="BR176" i="1"/>
  <c r="AE157" i="1"/>
  <c r="AA158" i="1"/>
  <c r="AC126" i="1"/>
  <c r="J127" i="1"/>
  <c r="H127" i="1"/>
  <c r="O126" i="1"/>
  <c r="AV126" i="1"/>
  <c r="B757" i="1" l="1"/>
  <c r="B758" i="1" s="1"/>
  <c r="B759" i="1" s="1"/>
  <c r="BW194" i="1"/>
  <c r="BN193" i="1"/>
  <c r="AX193" i="1"/>
  <c r="BR177" i="1"/>
  <c r="BP178" i="1"/>
  <c r="AA159" i="1"/>
  <c r="AE158" i="1"/>
  <c r="AV127" i="1"/>
  <c r="H128" i="1"/>
  <c r="J128" i="1"/>
  <c r="O127" i="1"/>
  <c r="AC127" i="1"/>
  <c r="B760" i="1" l="1"/>
  <c r="B761" i="1" s="1"/>
  <c r="B762" i="1" s="1"/>
  <c r="BW195" i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763" i="1" l="1"/>
  <c r="B764" i="1" s="1"/>
  <c r="B765" i="1" s="1"/>
  <c r="B766" i="1" s="1"/>
  <c r="BW197" i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767" i="1" l="1"/>
  <c r="B768" i="1" s="1"/>
  <c r="B769" i="1" s="1"/>
  <c r="B770" i="1" s="1"/>
  <c r="B771" i="1" s="1"/>
  <c r="B772" i="1" s="1"/>
  <c r="BW198" i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773" i="1" l="1"/>
  <c r="B774" i="1" s="1"/>
  <c r="B775" i="1" s="1"/>
  <c r="BW199" i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776" i="1" l="1"/>
  <c r="B777" i="1" s="1"/>
  <c r="B778" i="1" s="1"/>
  <c r="B779" i="1" s="1"/>
  <c r="BN199" i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B780" i="1" l="1"/>
  <c r="B781" i="1" s="1"/>
  <c r="B782" i="1" s="1"/>
  <c r="B783" i="1" s="1"/>
  <c r="B784" i="1" s="1"/>
  <c r="B785" i="1" s="1"/>
  <c r="B786" i="1" s="1"/>
  <c r="B787" i="1" s="1"/>
  <c r="B788" i="1" s="1"/>
  <c r="AX200" i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B789" i="1" l="1"/>
  <c r="B790" i="1" s="1"/>
  <c r="B791" i="1" s="1"/>
  <c r="B792" i="1" s="1"/>
  <c r="AX201" i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793" i="1" l="1"/>
  <c r="B794" i="1" s="1"/>
  <c r="B795" i="1" s="1"/>
  <c r="B796" i="1" s="1"/>
  <c r="B797" i="1" s="1"/>
  <c r="BN202" i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798" i="1" l="1"/>
  <c r="B799" i="1" s="1"/>
  <c r="BW204" i="1"/>
  <c r="BN203" i="1"/>
  <c r="AX203" i="1"/>
  <c r="BR189" i="1"/>
  <c r="BP190" i="1"/>
  <c r="AE170" i="1"/>
  <c r="AA171" i="1"/>
  <c r="O136" i="1"/>
  <c r="J137" i="1"/>
  <c r="H137" i="1"/>
  <c r="AV136" i="1"/>
  <c r="AC136" i="1"/>
  <c r="B800" i="1" l="1"/>
  <c r="B801" i="1" s="1"/>
  <c r="B802" i="1" s="1"/>
  <c r="B803" i="1" s="1"/>
  <c r="B804" i="1" s="1"/>
  <c r="AX204" i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B805" i="1" l="1"/>
  <c r="B806" i="1" s="1"/>
  <c r="B807" i="1" s="1"/>
  <c r="B808" i="1" s="1"/>
  <c r="AX206" i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809" i="1" l="1"/>
  <c r="B810" i="1" s="1"/>
  <c r="B811" i="1" s="1"/>
  <c r="B812" i="1" s="1"/>
  <c r="B813" i="1" s="1"/>
  <c r="BN207" i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814" i="1" l="1"/>
  <c r="B815" i="1" s="1"/>
  <c r="B816" i="1" s="1"/>
  <c r="B817" i="1" s="1"/>
  <c r="BW209" i="1"/>
  <c r="AX208" i="1"/>
  <c r="BN208" i="1"/>
  <c r="BR193" i="1"/>
  <c r="BP194" i="1"/>
  <c r="AA176" i="1"/>
  <c r="AE175" i="1"/>
  <c r="O140" i="1"/>
  <c r="H141" i="1"/>
  <c r="J141" i="1"/>
  <c r="AV140" i="1"/>
  <c r="AC140" i="1"/>
  <c r="B818" i="1" l="1"/>
  <c r="B819" i="1" s="1"/>
  <c r="B820" i="1" s="1"/>
  <c r="B821" i="1" s="1"/>
  <c r="BN209" i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822" i="1" l="1"/>
  <c r="B823" i="1" s="1"/>
  <c r="B824" i="1" s="1"/>
  <c r="B825" i="1" s="1"/>
  <c r="BW211" i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826" i="1" l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W212" i="1"/>
  <c r="AX211" i="1"/>
  <c r="BN211" i="1"/>
  <c r="BR197" i="1"/>
  <c r="BP198" i="1"/>
  <c r="AE178" i="1"/>
  <c r="AA179" i="1"/>
  <c r="O143" i="1"/>
  <c r="J144" i="1"/>
  <c r="H144" i="1"/>
  <c r="AV143" i="1"/>
  <c r="AC143" i="1"/>
  <c r="B845" i="1" l="1"/>
  <c r="B846" i="1" s="1"/>
  <c r="AX212" i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847" i="1" l="1"/>
  <c r="B848" i="1" s="1"/>
  <c r="B849" i="1" s="1"/>
  <c r="B854" i="1" s="1"/>
  <c r="B855" i="1" s="1"/>
  <c r="B856" i="1" s="1"/>
  <c r="BW214" i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892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945" i="1" s="1"/>
  <c r="O173" i="1"/>
  <c r="AV173" i="1"/>
  <c r="AC173" i="1"/>
  <c r="BE945" i="1" l="1"/>
  <c r="BA967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967" i="1" l="1"/>
  <c r="BP945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967" i="1" l="1"/>
  <c r="CA967" i="1" s="1"/>
  <c r="BC967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958" i="1" s="1"/>
  <c r="BA946" i="1" s="1"/>
  <c r="J235" i="1"/>
  <c r="O234" i="1"/>
  <c r="AC234" i="1"/>
  <c r="BE946" i="1" l="1"/>
  <c r="BA968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946" i="1" l="1"/>
  <c r="BE968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968" i="1" l="1"/>
  <c r="BC968" i="1"/>
  <c r="BC972" i="1" s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AV269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960" i="1"/>
  <c r="BA947" i="1" s="1"/>
  <c r="BA951" i="1" s="1"/>
  <c r="BR955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953" i="1"/>
  <c r="AA403" i="1"/>
  <c r="AA404" i="1" s="1"/>
  <c r="AE402" i="1"/>
  <c r="BE947" i="1"/>
  <c r="BA969" i="1"/>
  <c r="BA970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954" i="1"/>
  <c r="AA405" i="1"/>
  <c r="AE404" i="1"/>
  <c r="AE403" i="1"/>
  <c r="BE951" i="1"/>
  <c r="BE969" i="1"/>
  <c r="BP947" i="1"/>
  <c r="AC329" i="1"/>
  <c r="J330" i="1"/>
  <c r="H330" i="1"/>
  <c r="AV329" i="1"/>
  <c r="O329" i="1"/>
  <c r="BE971" i="1" l="1"/>
  <c r="BA972" i="1"/>
  <c r="BE972" i="1" s="1"/>
  <c r="BR972" i="1" s="1"/>
  <c r="CL973" i="1" s="1"/>
  <c r="BE970" i="1"/>
  <c r="BC969" i="1"/>
  <c r="AX439" i="1"/>
  <c r="BW440" i="1"/>
  <c r="BW441" i="1" s="1"/>
  <c r="BN439" i="1"/>
  <c r="BR424" i="1"/>
  <c r="BP425" i="1"/>
  <c r="BP426" i="1" s="1"/>
  <c r="AE405" i="1"/>
  <c r="AA406" i="1"/>
  <c r="AA407" i="1" s="1"/>
  <c r="BR969" i="1"/>
  <c r="D951" i="1"/>
  <c r="AH580" i="1" s="1"/>
  <c r="BG951" i="1"/>
  <c r="AC330" i="1"/>
  <c r="J331" i="1"/>
  <c r="H331" i="1"/>
  <c r="O330" i="1"/>
  <c r="AV330" i="1"/>
  <c r="AA285" i="3"/>
  <c r="AA286" i="3"/>
  <c r="AA283" i="3"/>
  <c r="AA284" i="3"/>
  <c r="AA282" i="3"/>
  <c r="AH579" i="1" l="1"/>
  <c r="AH578" i="1"/>
  <c r="AH573" i="1"/>
  <c r="AH574" i="1"/>
  <c r="AH575" i="1"/>
  <c r="AH577" i="1"/>
  <c r="AH576" i="1"/>
  <c r="AH570" i="1"/>
  <c r="AH572" i="1"/>
  <c r="AH571" i="1"/>
  <c r="AH567" i="1"/>
  <c r="AH568" i="1"/>
  <c r="AH565" i="1"/>
  <c r="AH566" i="1"/>
  <c r="AH569" i="1"/>
  <c r="AH564" i="1"/>
  <c r="AH563" i="1"/>
  <c r="AH560" i="1"/>
  <c r="AH562" i="1"/>
  <c r="AH561" i="1"/>
  <c r="AH559" i="1"/>
  <c r="AH557" i="1"/>
  <c r="AH555" i="1"/>
  <c r="AH556" i="1"/>
  <c r="AH558" i="1"/>
  <c r="AH553" i="1"/>
  <c r="AH550" i="1"/>
  <c r="AH552" i="1"/>
  <c r="AH549" i="1"/>
  <c r="AH551" i="1"/>
  <c r="AH554" i="1"/>
  <c r="AH547" i="1"/>
  <c r="AH548" i="1"/>
  <c r="AH545" i="1"/>
  <c r="AH546" i="1"/>
  <c r="AH542" i="1"/>
  <c r="AH541" i="1"/>
  <c r="AH543" i="1"/>
  <c r="AH540" i="1"/>
  <c r="AH544" i="1"/>
  <c r="AH539" i="1"/>
  <c r="AH535" i="1"/>
  <c r="AH537" i="1"/>
  <c r="AH536" i="1"/>
  <c r="AH538" i="1"/>
  <c r="AH533" i="1"/>
  <c r="AH532" i="1"/>
  <c r="AH534" i="1"/>
  <c r="AH531" i="1"/>
  <c r="AH530" i="1"/>
  <c r="AH529" i="1"/>
  <c r="AH528" i="1"/>
  <c r="AH523" i="1"/>
  <c r="AH526" i="1"/>
  <c r="AH524" i="1"/>
  <c r="AH527" i="1"/>
  <c r="AH525" i="1"/>
  <c r="AH521" i="1"/>
  <c r="AH519" i="1"/>
  <c r="AH518" i="1"/>
  <c r="AH522" i="1"/>
  <c r="AH520" i="1"/>
  <c r="AH517" i="1"/>
  <c r="AH515" i="1"/>
  <c r="AH513" i="1"/>
  <c r="AH516" i="1"/>
  <c r="AH514" i="1"/>
  <c r="AH509" i="1"/>
  <c r="AH511" i="1"/>
  <c r="AH512" i="1"/>
  <c r="AH510" i="1"/>
  <c r="AH503" i="1"/>
  <c r="AH508" i="1"/>
  <c r="AH504" i="1"/>
  <c r="AH506" i="1"/>
  <c r="AH505" i="1"/>
  <c r="AH507" i="1"/>
  <c r="BR970" i="1"/>
  <c r="BC970" i="1"/>
  <c r="AH499" i="1"/>
  <c r="AH500" i="1"/>
  <c r="AH502" i="1"/>
  <c r="AH501" i="1"/>
  <c r="AH495" i="1"/>
  <c r="AH497" i="1"/>
  <c r="AH496" i="1"/>
  <c r="AH498" i="1"/>
  <c r="AH492" i="1"/>
  <c r="AH490" i="1"/>
  <c r="AH491" i="1"/>
  <c r="AH494" i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951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W495" i="1" s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AX495" i="1" l="1"/>
  <c r="BW496" i="1"/>
  <c r="BN495" i="1"/>
  <c r="BN494" i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X496" i="1" l="1"/>
  <c r="BW497" i="1"/>
  <c r="BN496" i="1"/>
  <c r="BR483" i="1"/>
  <c r="BP484" i="1"/>
  <c r="AE465" i="1"/>
  <c r="AA466" i="1"/>
  <c r="AV375" i="1"/>
  <c r="J376" i="1"/>
  <c r="O375" i="1"/>
  <c r="H376" i="1"/>
  <c r="AC375" i="1"/>
  <c r="AX497" i="1" l="1"/>
  <c r="BW498" i="1"/>
  <c r="BW499" i="1" s="1"/>
  <c r="BN497" i="1"/>
  <c r="BP485" i="1"/>
  <c r="BR484" i="1"/>
  <c r="AA467" i="1"/>
  <c r="AA468" i="1" s="1"/>
  <c r="AE466" i="1"/>
  <c r="AV376" i="1"/>
  <c r="J377" i="1"/>
  <c r="H377" i="1"/>
  <c r="O376" i="1"/>
  <c r="AC376" i="1"/>
  <c r="BN499" i="1" l="1"/>
  <c r="BW500" i="1"/>
  <c r="AX499" i="1"/>
  <c r="BN498" i="1"/>
  <c r="AX498" i="1"/>
  <c r="BP486" i="1"/>
  <c r="BR485" i="1"/>
  <c r="AA469" i="1"/>
  <c r="AE468" i="1"/>
  <c r="AE467" i="1"/>
  <c r="AV377" i="1"/>
  <c r="J378" i="1"/>
  <c r="H378" i="1"/>
  <c r="O377" i="1"/>
  <c r="AC377" i="1"/>
  <c r="BN500" i="1" l="1"/>
  <c r="AX500" i="1"/>
  <c r="BW501" i="1"/>
  <c r="BR486" i="1"/>
  <c r="BP487" i="1"/>
  <c r="AE469" i="1"/>
  <c r="AA470" i="1"/>
  <c r="J379" i="1"/>
  <c r="H379" i="1"/>
  <c r="O378" i="1"/>
  <c r="AV378" i="1"/>
  <c r="AC378" i="1"/>
  <c r="BN501" i="1" l="1"/>
  <c r="BW502" i="1"/>
  <c r="AX501" i="1"/>
  <c r="BR487" i="1"/>
  <c r="BP488" i="1"/>
  <c r="BP489" i="1" s="1"/>
  <c r="AE470" i="1"/>
  <c r="AA471" i="1"/>
  <c r="AV379" i="1"/>
  <c r="J380" i="1"/>
  <c r="H380" i="1"/>
  <c r="O379" i="1"/>
  <c r="AC379" i="1"/>
  <c r="AX502" i="1" l="1"/>
  <c r="BW503" i="1"/>
  <c r="BW504" i="1" s="1"/>
  <c r="BN502" i="1"/>
  <c r="BR489" i="1"/>
  <c r="BP490" i="1"/>
  <c r="BR488" i="1"/>
  <c r="AE471" i="1"/>
  <c r="AA472" i="1"/>
  <c r="H381" i="1"/>
  <c r="J381" i="1"/>
  <c r="AV380" i="1"/>
  <c r="O380" i="1"/>
  <c r="AC380" i="1"/>
  <c r="BN504" i="1" l="1"/>
  <c r="AX504" i="1"/>
  <c r="BW505" i="1"/>
  <c r="AX503" i="1"/>
  <c r="BN503" i="1"/>
  <c r="BR490" i="1"/>
  <c r="BP491" i="1"/>
  <c r="AA473" i="1"/>
  <c r="AE472" i="1"/>
  <c r="AV381" i="1"/>
  <c r="J382" i="1"/>
  <c r="H382" i="1"/>
  <c r="O381" i="1"/>
  <c r="AC381" i="1"/>
  <c r="AX505" i="1" l="1"/>
  <c r="BW506" i="1"/>
  <c r="BN505" i="1"/>
  <c r="BR491" i="1"/>
  <c r="BP492" i="1"/>
  <c r="AA474" i="1"/>
  <c r="AA475" i="1" s="1"/>
  <c r="AE473" i="1"/>
  <c r="AV382" i="1"/>
  <c r="H383" i="1"/>
  <c r="J383" i="1"/>
  <c r="O382" i="1"/>
  <c r="AC382" i="1"/>
  <c r="BN506" i="1" l="1"/>
  <c r="BW507" i="1"/>
  <c r="AX506" i="1"/>
  <c r="BR492" i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X507" i="1" l="1"/>
  <c r="BW508" i="1"/>
  <c r="BW509" i="1" s="1"/>
  <c r="BN507" i="1"/>
  <c r="BR493" i="1"/>
  <c r="BP494" i="1"/>
  <c r="BP495" i="1" s="1"/>
  <c r="AA477" i="1"/>
  <c r="AE476" i="1"/>
  <c r="AV384" i="1"/>
  <c r="J385" i="1"/>
  <c r="H385" i="1"/>
  <c r="O384" i="1"/>
  <c r="AC384" i="1"/>
  <c r="AX509" i="1" l="1"/>
  <c r="BW510" i="1"/>
  <c r="BN509" i="1"/>
  <c r="AX508" i="1"/>
  <c r="BN508" i="1"/>
  <c r="BR495" i="1"/>
  <c r="BP496" i="1"/>
  <c r="BR494" i="1"/>
  <c r="AE477" i="1"/>
  <c r="AA478" i="1"/>
  <c r="AV385" i="1"/>
  <c r="J386" i="1"/>
  <c r="H386" i="1"/>
  <c r="O385" i="1"/>
  <c r="AC385" i="1"/>
  <c r="AX510" i="1" l="1"/>
  <c r="BW511" i="1"/>
  <c r="BN510" i="1"/>
  <c r="BR496" i="1"/>
  <c r="BP497" i="1"/>
  <c r="AE478" i="1"/>
  <c r="AA479" i="1"/>
  <c r="AV386" i="1"/>
  <c r="H387" i="1"/>
  <c r="J387" i="1"/>
  <c r="O386" i="1"/>
  <c r="AC386" i="1"/>
  <c r="BN511" i="1" l="1"/>
  <c r="BW512" i="1"/>
  <c r="BW513" i="1" s="1"/>
  <c r="AX511" i="1"/>
  <c r="BR497" i="1"/>
  <c r="BP498" i="1"/>
  <c r="BP499" i="1" s="1"/>
  <c r="AE479" i="1"/>
  <c r="AA480" i="1"/>
  <c r="AV387" i="1"/>
  <c r="J388" i="1"/>
  <c r="H388" i="1"/>
  <c r="O387" i="1"/>
  <c r="AC387" i="1"/>
  <c r="AX513" i="1" l="1"/>
  <c r="BW514" i="1"/>
  <c r="BN513" i="1"/>
  <c r="AX512" i="1"/>
  <c r="BN512" i="1"/>
  <c r="BR499" i="1"/>
  <c r="BP500" i="1"/>
  <c r="BR498" i="1"/>
  <c r="AE480" i="1"/>
  <c r="AA481" i="1"/>
  <c r="AA482" i="1" s="1"/>
  <c r="AV388" i="1"/>
  <c r="J389" i="1"/>
  <c r="H389" i="1"/>
  <c r="O388" i="1"/>
  <c r="AC388" i="1"/>
  <c r="AX514" i="1" l="1"/>
  <c r="BW515" i="1"/>
  <c r="BN514" i="1"/>
  <c r="BR500" i="1"/>
  <c r="BP501" i="1"/>
  <c r="AE482" i="1"/>
  <c r="AA483" i="1"/>
  <c r="AE481" i="1"/>
  <c r="AV389" i="1"/>
  <c r="O389" i="1"/>
  <c r="J390" i="1"/>
  <c r="H390" i="1"/>
  <c r="AC389" i="1"/>
  <c r="BN515" i="1" l="1"/>
  <c r="BW516" i="1"/>
  <c r="BW517" i="1" s="1"/>
  <c r="AX515" i="1"/>
  <c r="BR501" i="1"/>
  <c r="BP502" i="1"/>
  <c r="AA484" i="1"/>
  <c r="AE483" i="1"/>
  <c r="J391" i="1"/>
  <c r="H391" i="1"/>
  <c r="AV390" i="1"/>
  <c r="O390" i="1"/>
  <c r="AC390" i="1"/>
  <c r="BN517" i="1" l="1"/>
  <c r="BW518" i="1"/>
  <c r="AX517" i="1"/>
  <c r="AX516" i="1"/>
  <c r="BN516" i="1"/>
  <c r="BR502" i="1"/>
  <c r="BP503" i="1"/>
  <c r="BP504" i="1" s="1"/>
  <c r="AE484" i="1"/>
  <c r="AA485" i="1"/>
  <c r="AV391" i="1"/>
  <c r="J392" i="1"/>
  <c r="O391" i="1"/>
  <c r="H392" i="1"/>
  <c r="AC391" i="1"/>
  <c r="BN518" i="1" l="1"/>
  <c r="BW519" i="1"/>
  <c r="AX518" i="1"/>
  <c r="BR504" i="1"/>
  <c r="BP505" i="1"/>
  <c r="BR503" i="1"/>
  <c r="AE485" i="1"/>
  <c r="AA486" i="1"/>
  <c r="AV392" i="1"/>
  <c r="J393" i="1"/>
  <c r="H393" i="1"/>
  <c r="O392" i="1"/>
  <c r="AC392" i="1"/>
  <c r="AX519" i="1" l="1"/>
  <c r="BW520" i="1"/>
  <c r="BN519" i="1"/>
  <c r="BP506" i="1"/>
  <c r="BR505" i="1"/>
  <c r="AE486" i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X520" i="1" l="1"/>
  <c r="BW521" i="1"/>
  <c r="BN520" i="1"/>
  <c r="BP507" i="1"/>
  <c r="BR506" i="1"/>
  <c r="AA488" i="1"/>
  <c r="AA489" i="1" s="1"/>
  <c r="AE487" i="1"/>
  <c r="AV394" i="1"/>
  <c r="J395" i="1"/>
  <c r="H395" i="1"/>
  <c r="O394" i="1"/>
  <c r="AC394" i="1"/>
  <c r="BW522" i="1" l="1"/>
  <c r="BW523" i="1" s="1"/>
  <c r="BW524" i="1" s="1"/>
  <c r="BN521" i="1"/>
  <c r="AX521" i="1"/>
  <c r="BR507" i="1"/>
  <c r="BP508" i="1"/>
  <c r="BP509" i="1" s="1"/>
  <c r="AA490" i="1"/>
  <c r="AE489" i="1"/>
  <c r="AE488" i="1"/>
  <c r="AV395" i="1"/>
  <c r="J396" i="1"/>
  <c r="H396" i="1"/>
  <c r="O395" i="1"/>
  <c r="AC395" i="1"/>
  <c r="BW525" i="1" l="1"/>
  <c r="AX524" i="1"/>
  <c r="BN524" i="1"/>
  <c r="BN523" i="1"/>
  <c r="AX523" i="1"/>
  <c r="AX522" i="1"/>
  <c r="BN522" i="1"/>
  <c r="BR509" i="1"/>
  <c r="BP510" i="1"/>
  <c r="BR508" i="1"/>
  <c r="AA491" i="1"/>
  <c r="AE490" i="1"/>
  <c r="AV396" i="1"/>
  <c r="J397" i="1"/>
  <c r="H397" i="1"/>
  <c r="O396" i="1"/>
  <c r="AC396" i="1"/>
  <c r="BN525" i="1" l="1"/>
  <c r="AX525" i="1"/>
  <c r="BW526" i="1"/>
  <c r="BR510" i="1"/>
  <c r="BP511" i="1"/>
  <c r="AA492" i="1"/>
  <c r="AE491" i="1"/>
  <c r="AV397" i="1"/>
  <c r="J398" i="1"/>
  <c r="H398" i="1"/>
  <c r="O397" i="1"/>
  <c r="AC397" i="1"/>
  <c r="AX526" i="1" l="1"/>
  <c r="BW527" i="1"/>
  <c r="BW528" i="1" s="1"/>
  <c r="BN526" i="1"/>
  <c r="BR511" i="1"/>
  <c r="BP512" i="1"/>
  <c r="BP513" i="1" s="1"/>
  <c r="AE492" i="1"/>
  <c r="AA493" i="1"/>
  <c r="H399" i="1"/>
  <c r="J399" i="1"/>
  <c r="AV398" i="1"/>
  <c r="O398" i="1"/>
  <c r="AC398" i="1"/>
  <c r="BN528" i="1" l="1"/>
  <c r="BW529" i="1"/>
  <c r="AX528" i="1"/>
  <c r="AX527" i="1"/>
  <c r="BN527" i="1"/>
  <c r="BR513" i="1"/>
  <c r="BP514" i="1"/>
  <c r="BR512" i="1"/>
  <c r="AA494" i="1"/>
  <c r="AA495" i="1" s="1"/>
  <c r="AE493" i="1"/>
  <c r="J400" i="1"/>
  <c r="H400" i="1"/>
  <c r="AV399" i="1"/>
  <c r="O399" i="1"/>
  <c r="AC399" i="1"/>
  <c r="BN529" i="1" l="1"/>
  <c r="AX529" i="1"/>
  <c r="BW530" i="1"/>
  <c r="BW531" i="1" s="1"/>
  <c r="BR514" i="1"/>
  <c r="BP515" i="1"/>
  <c r="AA496" i="1"/>
  <c r="AE495" i="1"/>
  <c r="AE494" i="1"/>
  <c r="AV400" i="1"/>
  <c r="H401" i="1"/>
  <c r="J401" i="1"/>
  <c r="O400" i="1"/>
  <c r="AC400" i="1"/>
  <c r="BN531" i="1" l="1"/>
  <c r="BW532" i="1"/>
  <c r="AX531" i="1"/>
  <c r="BN530" i="1"/>
  <c r="AX530" i="1"/>
  <c r="BR515" i="1"/>
  <c r="BP516" i="1"/>
  <c r="BP517" i="1" s="1"/>
  <c r="AE496" i="1"/>
  <c r="AA497" i="1"/>
  <c r="AV401" i="1"/>
  <c r="J402" i="1"/>
  <c r="H402" i="1"/>
  <c r="O401" i="1"/>
  <c r="AC401" i="1"/>
  <c r="AA357" i="3"/>
  <c r="AA355" i="3"/>
  <c r="AA356" i="3"/>
  <c r="AA354" i="3"/>
  <c r="BN532" i="1" l="1"/>
  <c r="BW533" i="1"/>
  <c r="AX532" i="1"/>
  <c r="BR517" i="1"/>
  <c r="BP518" i="1"/>
  <c r="BR516" i="1"/>
  <c r="AA498" i="1"/>
  <c r="AA499" i="1" s="1"/>
  <c r="AE497" i="1"/>
  <c r="O402" i="1"/>
  <c r="J403" i="1"/>
  <c r="H403" i="1"/>
  <c r="AV402" i="1"/>
  <c r="AC402" i="1"/>
  <c r="AX533" i="1" l="1"/>
  <c r="BW534" i="1"/>
  <c r="BW535" i="1" s="1"/>
  <c r="BN533" i="1"/>
  <c r="BR518" i="1"/>
  <c r="BP519" i="1"/>
  <c r="AE499" i="1"/>
  <c r="AA500" i="1"/>
  <c r="AE498" i="1"/>
  <c r="J404" i="1"/>
  <c r="H404" i="1"/>
  <c r="AV403" i="1"/>
  <c r="O403" i="1"/>
  <c r="AC403" i="1"/>
  <c r="BN535" i="1" l="1"/>
  <c r="BW536" i="1"/>
  <c r="AX535" i="1"/>
  <c r="BN534" i="1"/>
  <c r="AX534" i="1"/>
  <c r="BR519" i="1"/>
  <c r="BP520" i="1"/>
  <c r="AA501" i="1"/>
  <c r="AE500" i="1"/>
  <c r="AV404" i="1"/>
  <c r="H405" i="1"/>
  <c r="J405" i="1"/>
  <c r="O404" i="1"/>
  <c r="AC404" i="1"/>
  <c r="BN536" i="1" l="1"/>
  <c r="BW537" i="1"/>
  <c r="AX536" i="1"/>
  <c r="BP521" i="1"/>
  <c r="BR520" i="1"/>
  <c r="AA502" i="1"/>
  <c r="AE501" i="1"/>
  <c r="AV405" i="1"/>
  <c r="J406" i="1"/>
  <c r="H406" i="1"/>
  <c r="O405" i="1"/>
  <c r="AC405" i="1"/>
  <c r="BN537" i="1" l="1"/>
  <c r="BW538" i="1"/>
  <c r="AX537" i="1"/>
  <c r="BP522" i="1"/>
  <c r="BR521" i="1"/>
  <c r="AE502" i="1"/>
  <c r="AA503" i="1"/>
  <c r="AA504" i="1" s="1"/>
  <c r="J407" i="1"/>
  <c r="H407" i="1"/>
  <c r="AV406" i="1"/>
  <c r="O406" i="1"/>
  <c r="AC406" i="1"/>
  <c r="AA361" i="3"/>
  <c r="AA359" i="3"/>
  <c r="AA360" i="3"/>
  <c r="AA358" i="3"/>
  <c r="AX538" i="1" l="1"/>
  <c r="BW539" i="1"/>
  <c r="BW540" i="1" s="1"/>
  <c r="BN538" i="1"/>
  <c r="BP523" i="1"/>
  <c r="BP524" i="1" s="1"/>
  <c r="BP525" i="1" s="1"/>
  <c r="BP526" i="1" s="1"/>
  <c r="BR522" i="1"/>
  <c r="AA505" i="1"/>
  <c r="AE504" i="1"/>
  <c r="AE503" i="1"/>
  <c r="AV407" i="1"/>
  <c r="J408" i="1"/>
  <c r="H408" i="1"/>
  <c r="O407" i="1"/>
  <c r="AC407" i="1"/>
  <c r="BN540" i="1" l="1"/>
  <c r="BW541" i="1"/>
  <c r="AX540" i="1"/>
  <c r="AX539" i="1"/>
  <c r="BN539" i="1"/>
  <c r="BP527" i="1"/>
  <c r="BP528" i="1" s="1"/>
  <c r="BR526" i="1"/>
  <c r="BR525" i="1"/>
  <c r="BR524" i="1"/>
  <c r="BR523" i="1"/>
  <c r="AA506" i="1"/>
  <c r="AE505" i="1"/>
  <c r="AV408" i="1"/>
  <c r="J409" i="1"/>
  <c r="H409" i="1"/>
  <c r="O408" i="1"/>
  <c r="AC408" i="1"/>
  <c r="AX541" i="1" l="1"/>
  <c r="BN541" i="1"/>
  <c r="BW542" i="1"/>
  <c r="BR528" i="1"/>
  <c r="BP529" i="1"/>
  <c r="BR527" i="1"/>
  <c r="AE506" i="1"/>
  <c r="AA507" i="1"/>
  <c r="AV409" i="1"/>
  <c r="H410" i="1"/>
  <c r="J410" i="1"/>
  <c r="O409" i="1"/>
  <c r="AC409" i="1"/>
  <c r="AA365" i="3"/>
  <c r="AA363" i="3"/>
  <c r="AA364" i="3"/>
  <c r="AA362" i="3"/>
  <c r="BN542" i="1" l="1"/>
  <c r="BW543" i="1"/>
  <c r="AX542" i="1"/>
  <c r="BR529" i="1"/>
  <c r="BP530" i="1"/>
  <c r="BP531" i="1" s="1"/>
  <c r="AA508" i="1"/>
  <c r="AA509" i="1" s="1"/>
  <c r="AE507" i="1"/>
  <c r="AV410" i="1"/>
  <c r="H411" i="1"/>
  <c r="J411" i="1"/>
  <c r="O410" i="1"/>
  <c r="AC410" i="1"/>
  <c r="AX543" i="1" l="1"/>
  <c r="BW544" i="1"/>
  <c r="BW545" i="1" s="1"/>
  <c r="BN543" i="1"/>
  <c r="BP532" i="1"/>
  <c r="BR531" i="1"/>
  <c r="BR530" i="1"/>
  <c r="AA510" i="1"/>
  <c r="AE509" i="1"/>
  <c r="AE508" i="1"/>
  <c r="J412" i="1"/>
  <c r="H412" i="1"/>
  <c r="AV411" i="1"/>
  <c r="O411" i="1"/>
  <c r="AC411" i="1"/>
  <c r="BN545" i="1" l="1"/>
  <c r="BW546" i="1"/>
  <c r="AX545" i="1"/>
  <c r="AX544" i="1"/>
  <c r="BN544" i="1"/>
  <c r="BR532" i="1"/>
  <c r="BP533" i="1"/>
  <c r="AA511" i="1"/>
  <c r="AE510" i="1"/>
  <c r="AV412" i="1"/>
  <c r="J413" i="1"/>
  <c r="H413" i="1"/>
  <c r="O412" i="1"/>
  <c r="AC412" i="1"/>
  <c r="AX546" i="1" l="1"/>
  <c r="BW547" i="1"/>
  <c r="BN546" i="1"/>
  <c r="BR533" i="1"/>
  <c r="BP534" i="1"/>
  <c r="BP535" i="1" s="1"/>
  <c r="AE511" i="1"/>
  <c r="AA512" i="1"/>
  <c r="AA513" i="1" s="1"/>
  <c r="AV413" i="1"/>
  <c r="J414" i="1"/>
  <c r="H414" i="1"/>
  <c r="O413" i="1"/>
  <c r="AC413" i="1"/>
  <c r="AX547" i="1" l="1"/>
  <c r="BW548" i="1"/>
  <c r="BW549" i="1" s="1"/>
  <c r="BN547" i="1"/>
  <c r="BR535" i="1"/>
  <c r="BP536" i="1"/>
  <c r="BR534" i="1"/>
  <c r="AA514" i="1"/>
  <c r="AE513" i="1"/>
  <c r="AE512" i="1"/>
  <c r="AV414" i="1"/>
  <c r="H415" i="1"/>
  <c r="J415" i="1"/>
  <c r="O414" i="1"/>
  <c r="AC414" i="1"/>
  <c r="AA371" i="3"/>
  <c r="AA369" i="3"/>
  <c r="AA370" i="3"/>
  <c r="AA367" i="3"/>
  <c r="AA368" i="3"/>
  <c r="AA366" i="3"/>
  <c r="AX549" i="1" l="1"/>
  <c r="BW550" i="1"/>
  <c r="BN549" i="1"/>
  <c r="BN548" i="1"/>
  <c r="AX548" i="1"/>
  <c r="BP537" i="1"/>
  <c r="BR536" i="1"/>
  <c r="AA515" i="1"/>
  <c r="AE514" i="1"/>
  <c r="AV415" i="1"/>
  <c r="J416" i="1"/>
  <c r="H416" i="1"/>
  <c r="O415" i="1"/>
  <c r="AC415" i="1"/>
  <c r="BN550" i="1" l="1"/>
  <c r="AX550" i="1"/>
  <c r="BW551" i="1"/>
  <c r="BP538" i="1"/>
  <c r="BR537" i="1"/>
  <c r="AE515" i="1"/>
  <c r="AA516" i="1"/>
  <c r="AA517" i="1" s="1"/>
  <c r="AV416" i="1"/>
  <c r="J417" i="1"/>
  <c r="H417" i="1"/>
  <c r="O416" i="1"/>
  <c r="AC416" i="1"/>
  <c r="BN551" i="1" l="1"/>
  <c r="BW552" i="1"/>
  <c r="AX551" i="1"/>
  <c r="BR538" i="1"/>
  <c r="BP539" i="1"/>
  <c r="AA518" i="1"/>
  <c r="AE517" i="1"/>
  <c r="AE516" i="1"/>
  <c r="J418" i="1"/>
  <c r="H418" i="1"/>
  <c r="AV417" i="1"/>
  <c r="O417" i="1"/>
  <c r="AC417" i="1"/>
  <c r="BN552" i="1" l="1"/>
  <c r="BW553" i="1"/>
  <c r="AX552" i="1"/>
  <c r="BR539" i="1"/>
  <c r="BP540" i="1"/>
  <c r="AE518" i="1"/>
  <c r="AA519" i="1"/>
  <c r="AV418" i="1"/>
  <c r="H419" i="1"/>
  <c r="J419" i="1"/>
  <c r="O418" i="1"/>
  <c r="AC418" i="1"/>
  <c r="AX553" i="1" l="1"/>
  <c r="BW554" i="1"/>
  <c r="BW555" i="1" s="1"/>
  <c r="BN553" i="1"/>
  <c r="BR540" i="1"/>
  <c r="BP541" i="1"/>
  <c r="AA520" i="1"/>
  <c r="AE519" i="1"/>
  <c r="AV419" i="1"/>
  <c r="H420" i="1"/>
  <c r="J420" i="1"/>
  <c r="O419" i="1"/>
  <c r="AC419" i="1"/>
  <c r="AA375" i="3"/>
  <c r="AA373" i="3"/>
  <c r="AA374" i="3"/>
  <c r="AA372" i="3"/>
  <c r="BN555" i="1" l="1"/>
  <c r="BW556" i="1"/>
  <c r="AX555" i="1"/>
  <c r="AX554" i="1"/>
  <c r="BN554" i="1"/>
  <c r="BR541" i="1"/>
  <c r="BP542" i="1"/>
  <c r="AE520" i="1"/>
  <c r="AA521" i="1"/>
  <c r="J421" i="1"/>
  <c r="H421" i="1"/>
  <c r="AV420" i="1"/>
  <c r="O420" i="1"/>
  <c r="AC420" i="1"/>
  <c r="BN556" i="1" l="1"/>
  <c r="BW557" i="1"/>
  <c r="AX556" i="1"/>
  <c r="BR542" i="1"/>
  <c r="BP543" i="1"/>
  <c r="AE521" i="1"/>
  <c r="AA522" i="1"/>
  <c r="AA523" i="1" s="1"/>
  <c r="AA524" i="1" s="1"/>
  <c r="AV421" i="1"/>
  <c r="H422" i="1"/>
  <c r="O421" i="1"/>
  <c r="J422" i="1"/>
  <c r="AC421" i="1"/>
  <c r="BN557" i="1" l="1"/>
  <c r="BW558" i="1"/>
  <c r="AX557" i="1"/>
  <c r="BR543" i="1"/>
  <c r="BP544" i="1"/>
  <c r="AE524" i="1"/>
  <c r="AA525" i="1"/>
  <c r="AE523" i="1"/>
  <c r="AE522" i="1"/>
  <c r="AV422" i="1"/>
  <c r="J423" i="1"/>
  <c r="H423" i="1"/>
  <c r="O422" i="1"/>
  <c r="AC422" i="1"/>
  <c r="BN558" i="1" l="1"/>
  <c r="BW559" i="1"/>
  <c r="BW560" i="1" s="1"/>
  <c r="AX558" i="1"/>
  <c r="BR544" i="1"/>
  <c r="BP545" i="1"/>
  <c r="AE525" i="1"/>
  <c r="AA526" i="1"/>
  <c r="AV423" i="1"/>
  <c r="J424" i="1"/>
  <c r="H424" i="1"/>
  <c r="O423" i="1"/>
  <c r="AC423" i="1"/>
  <c r="AA379" i="3"/>
  <c r="AA377" i="3"/>
  <c r="AA378" i="3"/>
  <c r="AA376" i="3"/>
  <c r="BN560" i="1" l="1"/>
  <c r="BW561" i="1"/>
  <c r="AX560" i="1"/>
  <c r="BN559" i="1"/>
  <c r="AX559" i="1"/>
  <c r="BR545" i="1"/>
  <c r="BP546" i="1"/>
  <c r="AE526" i="1"/>
  <c r="AA527" i="1"/>
  <c r="AA528" i="1" s="1"/>
  <c r="AV424" i="1"/>
  <c r="H425" i="1"/>
  <c r="J425" i="1"/>
  <c r="O424" i="1"/>
  <c r="AC424" i="1"/>
  <c r="BN561" i="1" l="1"/>
  <c r="BW562" i="1"/>
  <c r="AX561" i="1"/>
  <c r="BR546" i="1"/>
  <c r="BP547" i="1"/>
  <c r="AA529" i="1"/>
  <c r="AE528" i="1"/>
  <c r="AE527" i="1"/>
  <c r="J426" i="1"/>
  <c r="H426" i="1"/>
  <c r="AV425" i="1"/>
  <c r="O425" i="1"/>
  <c r="AC425" i="1"/>
  <c r="BN562" i="1" l="1"/>
  <c r="BW563" i="1"/>
  <c r="AX562" i="1"/>
  <c r="BR547" i="1"/>
  <c r="BP548" i="1"/>
  <c r="AE529" i="1"/>
  <c r="AA530" i="1"/>
  <c r="AA531" i="1" s="1"/>
  <c r="AV426" i="1"/>
  <c r="J427" i="1"/>
  <c r="H427" i="1"/>
  <c r="O426" i="1"/>
  <c r="AC426" i="1"/>
  <c r="AX563" i="1" l="1"/>
  <c r="BW564" i="1"/>
  <c r="BW565" i="1" s="1"/>
  <c r="BN563" i="1"/>
  <c r="BR548" i="1"/>
  <c r="BP549" i="1"/>
  <c r="AE531" i="1"/>
  <c r="AA532" i="1"/>
  <c r="AE530" i="1"/>
  <c r="AV427" i="1"/>
  <c r="J428" i="1"/>
  <c r="H428" i="1"/>
  <c r="O427" i="1"/>
  <c r="AC427" i="1"/>
  <c r="BN565" i="1" l="1"/>
  <c r="BW566" i="1"/>
  <c r="AX565" i="1"/>
  <c r="BN564" i="1"/>
  <c r="AX564" i="1"/>
  <c r="BR549" i="1"/>
  <c r="BP550" i="1"/>
  <c r="AE532" i="1"/>
  <c r="AA533" i="1"/>
  <c r="AV428" i="1"/>
  <c r="H429" i="1"/>
  <c r="J429" i="1"/>
  <c r="O428" i="1"/>
  <c r="AC428" i="1"/>
  <c r="AA383" i="3"/>
  <c r="AA384" i="3"/>
  <c r="AA381" i="3"/>
  <c r="AA382" i="3"/>
  <c r="AA380" i="3"/>
  <c r="BN566" i="1" l="1"/>
  <c r="BW567" i="1"/>
  <c r="AX566" i="1"/>
  <c r="BR550" i="1"/>
  <c r="BP551" i="1"/>
  <c r="AA534" i="1"/>
  <c r="AA535" i="1" s="1"/>
  <c r="AE533" i="1"/>
  <c r="J430" i="1"/>
  <c r="H430" i="1"/>
  <c r="AV429" i="1"/>
  <c r="O429" i="1"/>
  <c r="AC429" i="1"/>
  <c r="BN567" i="1" l="1"/>
  <c r="BW568" i="1"/>
  <c r="AX567" i="1"/>
  <c r="BP552" i="1"/>
  <c r="BR551" i="1"/>
  <c r="AE535" i="1"/>
  <c r="AA536" i="1"/>
  <c r="AE534" i="1"/>
  <c r="AV430" i="1"/>
  <c r="O430" i="1"/>
  <c r="J431" i="1"/>
  <c r="H431" i="1"/>
  <c r="AC430" i="1"/>
  <c r="BN568" i="1" l="1"/>
  <c r="AX568" i="1"/>
  <c r="BW569" i="1"/>
  <c r="BW570" i="1" s="1"/>
  <c r="BW571" i="1" s="1"/>
  <c r="BR552" i="1"/>
  <c r="BP553" i="1"/>
  <c r="AE536" i="1"/>
  <c r="AA537" i="1"/>
  <c r="AV431" i="1"/>
  <c r="J432" i="1"/>
  <c r="H432" i="1"/>
  <c r="O431" i="1"/>
  <c r="AC431" i="1"/>
  <c r="AX571" i="1" l="1"/>
  <c r="BW572" i="1"/>
  <c r="BW573" i="1" s="1"/>
  <c r="BN571" i="1"/>
  <c r="BN570" i="1"/>
  <c r="AX570" i="1"/>
  <c r="BN569" i="1"/>
  <c r="AX569" i="1"/>
  <c r="BR553" i="1"/>
  <c r="BP554" i="1"/>
  <c r="BP555" i="1" s="1"/>
  <c r="AA538" i="1"/>
  <c r="AE537" i="1"/>
  <c r="AV432" i="1"/>
  <c r="H433" i="1"/>
  <c r="J433" i="1"/>
  <c r="O432" i="1"/>
  <c r="AC432" i="1"/>
  <c r="AA386" i="3"/>
  <c r="AA387" i="3"/>
  <c r="AA385" i="3"/>
  <c r="AX573" i="1" l="1"/>
  <c r="BW574" i="1"/>
  <c r="BN573" i="1"/>
  <c r="AX572" i="1"/>
  <c r="BN572" i="1"/>
  <c r="BR555" i="1"/>
  <c r="BP556" i="1"/>
  <c r="BR554" i="1"/>
  <c r="AE538" i="1"/>
  <c r="AA539" i="1"/>
  <c r="AA540" i="1" s="1"/>
  <c r="J434" i="1"/>
  <c r="H434" i="1"/>
  <c r="AV433" i="1"/>
  <c r="O433" i="1"/>
  <c r="AC433" i="1"/>
  <c r="BN574" i="1" l="1"/>
  <c r="BW575" i="1"/>
  <c r="AX574" i="1"/>
  <c r="BP557" i="1"/>
  <c r="BR556" i="1"/>
  <c r="AE540" i="1"/>
  <c r="AA541" i="1"/>
  <c r="AE539" i="1"/>
  <c r="AV434" i="1"/>
  <c r="H435" i="1"/>
  <c r="J435" i="1"/>
  <c r="O434" i="1"/>
  <c r="AC434" i="1"/>
  <c r="AX575" i="1" l="1"/>
  <c r="BW576" i="1"/>
  <c r="BN575" i="1"/>
  <c r="BR557" i="1"/>
  <c r="BP558" i="1"/>
  <c r="AE541" i="1"/>
  <c r="AA542" i="1"/>
  <c r="AV435" i="1"/>
  <c r="O435" i="1"/>
  <c r="J436" i="1"/>
  <c r="H436" i="1"/>
  <c r="AC435" i="1"/>
  <c r="BN576" i="1" l="1"/>
  <c r="AX576" i="1"/>
  <c r="BW577" i="1"/>
  <c r="BR558" i="1"/>
  <c r="BP559" i="1"/>
  <c r="AE542" i="1"/>
  <c r="AA543" i="1"/>
  <c r="AV436" i="1"/>
  <c r="O436" i="1"/>
  <c r="H437" i="1"/>
  <c r="J437" i="1"/>
  <c r="AC436" i="1"/>
  <c r="AA391" i="3"/>
  <c r="AA389" i="3"/>
  <c r="AA390" i="3"/>
  <c r="AA388" i="3"/>
  <c r="AX577" i="1" l="1"/>
  <c r="BW578" i="1"/>
  <c r="BN577" i="1"/>
  <c r="BR559" i="1"/>
  <c r="BP560" i="1"/>
  <c r="AA544" i="1"/>
  <c r="AA545" i="1" s="1"/>
  <c r="AE543" i="1"/>
  <c r="J438" i="1"/>
  <c r="H438" i="1"/>
  <c r="AV437" i="1"/>
  <c r="O437" i="1"/>
  <c r="AC437" i="1"/>
  <c r="BN578" i="1" l="1"/>
  <c r="BW579" i="1"/>
  <c r="BW580" i="1" s="1"/>
  <c r="AX578" i="1"/>
  <c r="BP561" i="1"/>
  <c r="BR560" i="1"/>
  <c r="AE545" i="1"/>
  <c r="AA546" i="1"/>
  <c r="AE544" i="1"/>
  <c r="AV438" i="1"/>
  <c r="O438" i="1"/>
  <c r="J439" i="1"/>
  <c r="H439" i="1"/>
  <c r="AC438" i="1"/>
  <c r="BN580" i="1" l="1"/>
  <c r="BW581" i="1"/>
  <c r="BW582" i="1" s="1"/>
  <c r="AX580" i="1"/>
  <c r="BN579" i="1"/>
  <c r="AX579" i="1"/>
  <c r="BR561" i="1"/>
  <c r="BP562" i="1"/>
  <c r="AA547" i="1"/>
  <c r="AE546" i="1"/>
  <c r="AV439" i="1"/>
  <c r="J440" i="1"/>
  <c r="H440" i="1"/>
  <c r="O439" i="1"/>
  <c r="AC439" i="1"/>
  <c r="AA395" i="3"/>
  <c r="AA392" i="3"/>
  <c r="BN582" i="1" l="1"/>
  <c r="BW583" i="1"/>
  <c r="AX581" i="1"/>
  <c r="BN581" i="1"/>
  <c r="BR562" i="1"/>
  <c r="BP563" i="1"/>
  <c r="AA548" i="1"/>
  <c r="AA549" i="1" s="1"/>
  <c r="AE547" i="1"/>
  <c r="J441" i="1"/>
  <c r="H441" i="1"/>
  <c r="AV440" i="1"/>
  <c r="O440" i="1"/>
  <c r="AC440" i="1"/>
  <c r="AA393" i="3"/>
  <c r="AA394" i="3"/>
  <c r="BN583" i="1" l="1"/>
  <c r="BW584" i="1"/>
  <c r="AX583" i="1"/>
  <c r="AX582" i="1"/>
  <c r="BR563" i="1"/>
  <c r="BP564" i="1"/>
  <c r="BP565" i="1" s="1"/>
  <c r="AA550" i="1"/>
  <c r="AE549" i="1"/>
  <c r="AE548" i="1"/>
  <c r="AV441" i="1"/>
  <c r="J442" i="1"/>
  <c r="H442" i="1"/>
  <c r="O441" i="1"/>
  <c r="AC441" i="1"/>
  <c r="BN584" i="1" l="1"/>
  <c r="BW585" i="1"/>
  <c r="AX584" i="1"/>
  <c r="BR565" i="1"/>
  <c r="BP566" i="1"/>
  <c r="BR564" i="1"/>
  <c r="AE550" i="1"/>
  <c r="AA551" i="1"/>
  <c r="AV442" i="1"/>
  <c r="J443" i="1"/>
  <c r="H443" i="1"/>
  <c r="O442" i="1"/>
  <c r="AC442" i="1"/>
  <c r="BN585" i="1" l="1"/>
  <c r="BW586" i="1"/>
  <c r="BW587" i="1" s="1"/>
  <c r="AX585" i="1"/>
  <c r="BR566" i="1"/>
  <c r="BP567" i="1"/>
  <c r="AE551" i="1"/>
  <c r="AA552" i="1"/>
  <c r="AV443" i="1"/>
  <c r="J444" i="1"/>
  <c r="H444" i="1"/>
  <c r="O443" i="1"/>
  <c r="AC443" i="1"/>
  <c r="AA399" i="3"/>
  <c r="AA397" i="3"/>
  <c r="AA398" i="3"/>
  <c r="AA396" i="3"/>
  <c r="BN587" i="1" l="1"/>
  <c r="BW588" i="1"/>
  <c r="AX587" i="1"/>
  <c r="BN586" i="1"/>
  <c r="AX586" i="1"/>
  <c r="BR567" i="1"/>
  <c r="BP568" i="1"/>
  <c r="AE552" i="1"/>
  <c r="AA553" i="1"/>
  <c r="H445" i="1"/>
  <c r="J445" i="1"/>
  <c r="AV444" i="1"/>
  <c r="O444" i="1"/>
  <c r="AC444" i="1"/>
  <c r="BN588" i="1" l="1"/>
  <c r="AX588" i="1"/>
  <c r="BW589" i="1"/>
  <c r="BW590" i="1" s="1"/>
  <c r="BP569" i="1"/>
  <c r="BP570" i="1" s="1"/>
  <c r="BP571" i="1" s="1"/>
  <c r="BR568" i="1"/>
  <c r="AE553" i="1"/>
  <c r="AA554" i="1"/>
  <c r="AA555" i="1" s="1"/>
  <c r="AV445" i="1"/>
  <c r="J446" i="1"/>
  <c r="H446" i="1"/>
  <c r="O445" i="1"/>
  <c r="AC445" i="1"/>
  <c r="BN590" i="1" l="1"/>
  <c r="BW591" i="1"/>
  <c r="AX590" i="1"/>
  <c r="BN589" i="1"/>
  <c r="AX589" i="1"/>
  <c r="BR571" i="1"/>
  <c r="BP572" i="1"/>
  <c r="BP573" i="1" s="1"/>
  <c r="BR570" i="1"/>
  <c r="BR569" i="1"/>
  <c r="AA556" i="1"/>
  <c r="AE555" i="1"/>
  <c r="AE554" i="1"/>
  <c r="AV446" i="1"/>
  <c r="J447" i="1"/>
  <c r="H447" i="1"/>
  <c r="O446" i="1"/>
  <c r="AC446" i="1"/>
  <c r="BN591" i="1" l="1"/>
  <c r="BW592" i="1"/>
  <c r="AX591" i="1"/>
  <c r="BR573" i="1"/>
  <c r="BP574" i="1"/>
  <c r="BR572" i="1"/>
  <c r="AE556" i="1"/>
  <c r="AA557" i="1"/>
  <c r="J448" i="1"/>
  <c r="H448" i="1"/>
  <c r="AV447" i="1"/>
  <c r="O447" i="1"/>
  <c r="AC447" i="1"/>
  <c r="AA401" i="3"/>
  <c r="AA402" i="3"/>
  <c r="AA400" i="3"/>
  <c r="BN592" i="1" l="1"/>
  <c r="BW593" i="1"/>
  <c r="BW594" i="1" s="1"/>
  <c r="AX592" i="1"/>
  <c r="BR574" i="1"/>
  <c r="BP575" i="1"/>
  <c r="AE557" i="1"/>
  <c r="AA558" i="1"/>
  <c r="O448" i="1"/>
  <c r="J449" i="1"/>
  <c r="H449" i="1"/>
  <c r="AV448" i="1"/>
  <c r="AC448" i="1"/>
  <c r="BN594" i="1" l="1"/>
  <c r="BW595" i="1"/>
  <c r="AX594" i="1"/>
  <c r="BN593" i="1"/>
  <c r="AX593" i="1"/>
  <c r="BR575" i="1"/>
  <c r="BP576" i="1"/>
  <c r="AA559" i="1"/>
  <c r="AA560" i="1" s="1"/>
  <c r="AE558" i="1"/>
  <c r="AV449" i="1"/>
  <c r="J450" i="1"/>
  <c r="H450" i="1"/>
  <c r="O449" i="1"/>
  <c r="AC449" i="1"/>
  <c r="BN595" i="1" l="1"/>
  <c r="BW596" i="1"/>
  <c r="AX595" i="1"/>
  <c r="BR576" i="1"/>
  <c r="BP577" i="1"/>
  <c r="AA561" i="1"/>
  <c r="AE560" i="1"/>
  <c r="AE559" i="1"/>
  <c r="AV450" i="1"/>
  <c r="H451" i="1"/>
  <c r="J451" i="1"/>
  <c r="O450" i="1"/>
  <c r="AC450" i="1"/>
  <c r="AA406" i="3"/>
  <c r="AA407" i="3"/>
  <c r="AA404" i="3"/>
  <c r="AA405" i="3"/>
  <c r="AA403" i="3"/>
  <c r="BN596" i="1" l="1"/>
  <c r="BW597" i="1"/>
  <c r="AX596" i="1"/>
  <c r="BR577" i="1"/>
  <c r="BP578" i="1"/>
  <c r="AE561" i="1"/>
  <c r="AA562" i="1"/>
  <c r="AV451" i="1"/>
  <c r="J452" i="1"/>
  <c r="H452" i="1"/>
  <c r="O451" i="1"/>
  <c r="AC451" i="1"/>
  <c r="BN597" i="1" l="1"/>
  <c r="BW598" i="1"/>
  <c r="AX597" i="1"/>
  <c r="BR578" i="1"/>
  <c r="BP579" i="1"/>
  <c r="BP580" i="1" s="1"/>
  <c r="AE562" i="1"/>
  <c r="AA563" i="1"/>
  <c r="J453" i="1"/>
  <c r="H453" i="1"/>
  <c r="AV452" i="1"/>
  <c r="O452" i="1"/>
  <c r="AC452" i="1"/>
  <c r="BN598" i="1" l="1"/>
  <c r="BW599" i="1"/>
  <c r="AX598" i="1"/>
  <c r="BP581" i="1"/>
  <c r="BP582" i="1" s="1"/>
  <c r="BR580" i="1"/>
  <c r="BR579" i="1"/>
  <c r="AE563" i="1"/>
  <c r="AA564" i="1"/>
  <c r="AA565" i="1" s="1"/>
  <c r="AV453" i="1"/>
  <c r="H454" i="1"/>
  <c r="J454" i="1"/>
  <c r="O453" i="1"/>
  <c r="AC453" i="1"/>
  <c r="BN599" i="1" l="1"/>
  <c r="BW600" i="1"/>
  <c r="BW601" i="1" s="1"/>
  <c r="AX599" i="1"/>
  <c r="BR582" i="1"/>
  <c r="BP583" i="1"/>
  <c r="BR581" i="1"/>
  <c r="AA566" i="1"/>
  <c r="AE565" i="1"/>
  <c r="AE564" i="1"/>
  <c r="AV454" i="1"/>
  <c r="J455" i="1"/>
  <c r="H455" i="1"/>
  <c r="O454" i="1"/>
  <c r="AC454" i="1"/>
  <c r="BN601" i="1" l="1"/>
  <c r="BW602" i="1"/>
  <c r="BW603" i="1" s="1"/>
  <c r="BW604" i="1" s="1"/>
  <c r="AX601" i="1"/>
  <c r="BN600" i="1"/>
  <c r="AX600" i="1"/>
  <c r="BR583" i="1"/>
  <c r="BP584" i="1"/>
  <c r="AA567" i="1"/>
  <c r="AE566" i="1"/>
  <c r="AV455" i="1"/>
  <c r="H456" i="1"/>
  <c r="J456" i="1"/>
  <c r="O455" i="1"/>
  <c r="AC455" i="1"/>
  <c r="AA411" i="3"/>
  <c r="AA409" i="3"/>
  <c r="AA410" i="3"/>
  <c r="AA408" i="3"/>
  <c r="BW605" i="1" l="1"/>
  <c r="BN604" i="1"/>
  <c r="AX604" i="1"/>
  <c r="BN603" i="1"/>
  <c r="AX603" i="1"/>
  <c r="BN602" i="1"/>
  <c r="AX602" i="1"/>
  <c r="BR584" i="1"/>
  <c r="BP585" i="1"/>
  <c r="AE567" i="1"/>
  <c r="AA568" i="1"/>
  <c r="J457" i="1"/>
  <c r="H457" i="1"/>
  <c r="AV456" i="1"/>
  <c r="O456" i="1"/>
  <c r="AC456" i="1"/>
  <c r="BN605" i="1" l="1"/>
  <c r="BW606" i="1"/>
  <c r="AX605" i="1"/>
  <c r="BR585" i="1"/>
  <c r="BP586" i="1"/>
  <c r="BP587" i="1" s="1"/>
  <c r="AE568" i="1"/>
  <c r="AA569" i="1"/>
  <c r="AA570" i="1" s="1"/>
  <c r="AA571" i="1" s="1"/>
  <c r="AV457" i="1"/>
  <c r="H458" i="1"/>
  <c r="J458" i="1"/>
  <c r="O457" i="1"/>
  <c r="AC457" i="1"/>
  <c r="BN606" i="1" l="1"/>
  <c r="BW607" i="1"/>
  <c r="BW608" i="1" s="1"/>
  <c r="AX606" i="1"/>
  <c r="BR587" i="1"/>
  <c r="BP588" i="1"/>
  <c r="BR586" i="1"/>
  <c r="AA572" i="1"/>
  <c r="AA573" i="1" s="1"/>
  <c r="AE571" i="1"/>
  <c r="AE570" i="1"/>
  <c r="AE569" i="1"/>
  <c r="O458" i="1"/>
  <c r="J459" i="1"/>
  <c r="H459" i="1"/>
  <c r="AV458" i="1"/>
  <c r="AC458" i="1"/>
  <c r="BN608" i="1" l="1"/>
  <c r="BW609" i="1"/>
  <c r="AX608" i="1"/>
  <c r="AX607" i="1"/>
  <c r="BN607" i="1"/>
  <c r="BR588" i="1"/>
  <c r="BP589" i="1"/>
  <c r="BP590" i="1" s="1"/>
  <c r="AE573" i="1"/>
  <c r="AA574" i="1"/>
  <c r="AE572" i="1"/>
  <c r="AV459" i="1"/>
  <c r="J460" i="1"/>
  <c r="H460" i="1"/>
  <c r="O459" i="1"/>
  <c r="AC459" i="1"/>
  <c r="AA412" i="3"/>
  <c r="BN609" i="1" l="1"/>
  <c r="BW610" i="1"/>
  <c r="AX609" i="1"/>
  <c r="BR590" i="1"/>
  <c r="BP591" i="1"/>
  <c r="BR589" i="1"/>
  <c r="AE574" i="1"/>
  <c r="AA575" i="1"/>
  <c r="J461" i="1"/>
  <c r="H461" i="1"/>
  <c r="AV460" i="1"/>
  <c r="O460" i="1"/>
  <c r="AC460" i="1"/>
  <c r="AA413" i="3"/>
  <c r="AA414" i="3"/>
  <c r="BN610" i="1" l="1"/>
  <c r="BW611" i="1"/>
  <c r="BW612" i="1" s="1"/>
  <c r="AX610" i="1"/>
  <c r="BR591" i="1"/>
  <c r="BP592" i="1"/>
  <c r="AA576" i="1"/>
  <c r="AE575" i="1"/>
  <c r="AV461" i="1"/>
  <c r="J462" i="1"/>
  <c r="H462" i="1"/>
  <c r="O461" i="1"/>
  <c r="AC461" i="1"/>
  <c r="AX612" i="1" l="1"/>
  <c r="BW613" i="1"/>
  <c r="BN612" i="1"/>
  <c r="BN611" i="1"/>
  <c r="AX611" i="1"/>
  <c r="BR592" i="1"/>
  <c r="BP593" i="1"/>
  <c r="BP594" i="1" s="1"/>
  <c r="AA577" i="1"/>
  <c r="AE576" i="1"/>
  <c r="O462" i="1"/>
  <c r="H463" i="1"/>
  <c r="J463" i="1"/>
  <c r="AV462" i="1"/>
  <c r="AC462" i="1"/>
  <c r="BN613" i="1" l="1"/>
  <c r="BW614" i="1"/>
  <c r="BW615" i="1" s="1"/>
  <c r="AX613" i="1"/>
  <c r="BR594" i="1"/>
  <c r="BP595" i="1"/>
  <c r="BR593" i="1"/>
  <c r="AE577" i="1"/>
  <c r="AA578" i="1"/>
  <c r="J464" i="1"/>
  <c r="H464" i="1"/>
  <c r="AV463" i="1"/>
  <c r="O463" i="1"/>
  <c r="AC463" i="1"/>
  <c r="AA416" i="3"/>
  <c r="AA417" i="3"/>
  <c r="AA415" i="3"/>
  <c r="BN615" i="1" l="1"/>
  <c r="BW616" i="1"/>
  <c r="AX615" i="1"/>
  <c r="BN614" i="1"/>
  <c r="AX614" i="1"/>
  <c r="BR595" i="1"/>
  <c r="BP596" i="1"/>
  <c r="AA579" i="1"/>
  <c r="AA580" i="1" s="1"/>
  <c r="AE578" i="1"/>
  <c r="AV464" i="1"/>
  <c r="J465" i="1"/>
  <c r="O464" i="1"/>
  <c r="H465" i="1"/>
  <c r="AC464" i="1"/>
  <c r="BN616" i="1" l="1"/>
  <c r="BW617" i="1"/>
  <c r="BW618" i="1" s="1"/>
  <c r="AX616" i="1"/>
  <c r="BR596" i="1"/>
  <c r="BP597" i="1"/>
  <c r="AE580" i="1"/>
  <c r="AA581" i="1"/>
  <c r="AE579" i="1"/>
  <c r="O465" i="1"/>
  <c r="J466" i="1"/>
  <c r="H466" i="1"/>
  <c r="AV465" i="1"/>
  <c r="AC465" i="1"/>
  <c r="AA421" i="3"/>
  <c r="AA422" i="3"/>
  <c r="AA419" i="3"/>
  <c r="AA420" i="3"/>
  <c r="AA418" i="3"/>
  <c r="BN618" i="1" l="1"/>
  <c r="BW619" i="1"/>
  <c r="AX618" i="1"/>
  <c r="AX617" i="1"/>
  <c r="BN617" i="1"/>
  <c r="BP598" i="1"/>
  <c r="BR597" i="1"/>
  <c r="AE581" i="1"/>
  <c r="AA582" i="1"/>
  <c r="AA583" i="1" s="1"/>
  <c r="AV466" i="1"/>
  <c r="H467" i="1"/>
  <c r="J467" i="1"/>
  <c r="O466" i="1"/>
  <c r="AC466" i="1"/>
  <c r="BN619" i="1" l="1"/>
  <c r="BW620" i="1"/>
  <c r="AX619" i="1"/>
  <c r="BR598" i="1"/>
  <c r="BP599" i="1"/>
  <c r="AA584" i="1"/>
  <c r="AE583" i="1"/>
  <c r="AE582" i="1"/>
  <c r="J468" i="1"/>
  <c r="H468" i="1"/>
  <c r="AV467" i="1"/>
  <c r="O467" i="1"/>
  <c r="AC467" i="1"/>
  <c r="BN620" i="1" l="1"/>
  <c r="BW621" i="1"/>
  <c r="BW622" i="1" s="1"/>
  <c r="AX620" i="1"/>
  <c r="BR599" i="1"/>
  <c r="BP600" i="1"/>
  <c r="BP601" i="1" s="1"/>
  <c r="AE584" i="1"/>
  <c r="AA585" i="1"/>
  <c r="AV468" i="1"/>
  <c r="J469" i="1"/>
  <c r="H469" i="1"/>
  <c r="O468" i="1"/>
  <c r="AC468" i="1"/>
  <c r="BN622" i="1" l="1"/>
  <c r="BW623" i="1"/>
  <c r="AX622" i="1"/>
  <c r="BN621" i="1"/>
  <c r="AX621" i="1"/>
  <c r="BR601" i="1"/>
  <c r="BP602" i="1"/>
  <c r="BR600" i="1"/>
  <c r="AE585" i="1"/>
  <c r="AA586" i="1"/>
  <c r="AA587" i="1" s="1"/>
  <c r="AV469" i="1"/>
  <c r="J470" i="1"/>
  <c r="H470" i="1"/>
  <c r="O469" i="1"/>
  <c r="AC469" i="1"/>
  <c r="BN623" i="1" l="1"/>
  <c r="BW624" i="1"/>
  <c r="AX623" i="1"/>
  <c r="BR602" i="1"/>
  <c r="BP603" i="1"/>
  <c r="AA588" i="1"/>
  <c r="AE587" i="1"/>
  <c r="AE586" i="1"/>
  <c r="AV470" i="1"/>
  <c r="H471" i="1"/>
  <c r="J471" i="1"/>
  <c r="O470" i="1"/>
  <c r="AC470" i="1"/>
  <c r="AA428" i="3"/>
  <c r="AA429" i="3"/>
  <c r="AA426" i="3"/>
  <c r="AA427" i="3"/>
  <c r="AA424" i="3"/>
  <c r="AA425" i="3"/>
  <c r="AA423" i="3"/>
  <c r="BN624" i="1" l="1"/>
  <c r="BW625" i="1"/>
  <c r="AX624" i="1"/>
  <c r="BR603" i="1"/>
  <c r="BP604" i="1"/>
  <c r="AE588" i="1"/>
  <c r="AA589" i="1"/>
  <c r="AA590" i="1" s="1"/>
  <c r="AV471" i="1"/>
  <c r="J472" i="1"/>
  <c r="H472" i="1"/>
  <c r="O471" i="1"/>
  <c r="AC471" i="1"/>
  <c r="BW626" i="1" l="1"/>
  <c r="AX625" i="1"/>
  <c r="BN625" i="1"/>
  <c r="BR604" i="1"/>
  <c r="BP605" i="1"/>
  <c r="AE590" i="1"/>
  <c r="AA591" i="1"/>
  <c r="AE589" i="1"/>
  <c r="AV472" i="1"/>
  <c r="J473" i="1"/>
  <c r="H473" i="1"/>
  <c r="O472" i="1"/>
  <c r="AC472" i="1"/>
  <c r="BN626" i="1" l="1"/>
  <c r="BW627" i="1"/>
  <c r="AX626" i="1"/>
  <c r="BP606" i="1"/>
  <c r="BR605" i="1"/>
  <c r="AE591" i="1"/>
  <c r="AA592" i="1"/>
  <c r="AV473" i="1"/>
  <c r="J474" i="1"/>
  <c r="H474" i="1"/>
  <c r="O473" i="1"/>
  <c r="AC473" i="1"/>
  <c r="BN627" i="1" l="1"/>
  <c r="BW628" i="1"/>
  <c r="AX627" i="1"/>
  <c r="BP607" i="1"/>
  <c r="BP608" i="1" s="1"/>
  <c r="BR606" i="1"/>
  <c r="AA593" i="1"/>
  <c r="AA594" i="1" s="1"/>
  <c r="AE592" i="1"/>
  <c r="J475" i="1"/>
  <c r="H475" i="1"/>
  <c r="AV474" i="1"/>
  <c r="O474" i="1"/>
  <c r="AC474" i="1"/>
  <c r="BN628" i="1" l="1"/>
  <c r="BW629" i="1"/>
  <c r="AX628" i="1"/>
  <c r="BR608" i="1"/>
  <c r="BP609" i="1"/>
  <c r="BR607" i="1"/>
  <c r="AE594" i="1"/>
  <c r="AA595" i="1"/>
  <c r="AE593" i="1"/>
  <c r="AV475" i="1"/>
  <c r="J476" i="1"/>
  <c r="H476" i="1"/>
  <c r="O475" i="1"/>
  <c r="AC475" i="1"/>
  <c r="BW630" i="1" l="1"/>
  <c r="BW631" i="1" s="1"/>
  <c r="AX629" i="1"/>
  <c r="BN629" i="1"/>
  <c r="BR609" i="1"/>
  <c r="BP610" i="1"/>
  <c r="AE595" i="1"/>
  <c r="AA596" i="1"/>
  <c r="AV476" i="1"/>
  <c r="J477" i="1"/>
  <c r="H477" i="1"/>
  <c r="O476" i="1"/>
  <c r="AC476" i="1"/>
  <c r="BW632" i="1" l="1"/>
  <c r="AX631" i="1"/>
  <c r="BN631" i="1"/>
  <c r="BN630" i="1"/>
  <c r="AX630" i="1"/>
  <c r="BR610" i="1"/>
  <c r="BP611" i="1"/>
  <c r="BP612" i="1" s="1"/>
  <c r="AE596" i="1"/>
  <c r="AA597" i="1"/>
  <c r="AV477" i="1"/>
  <c r="J478" i="1"/>
  <c r="H478" i="1"/>
  <c r="O477" i="1"/>
  <c r="AC477" i="1"/>
  <c r="AA435" i="3"/>
  <c r="AA436" i="3"/>
  <c r="AA433" i="3"/>
  <c r="AA434" i="3"/>
  <c r="AA431" i="3"/>
  <c r="AA432" i="3"/>
  <c r="AA430" i="3"/>
  <c r="BW633" i="1" l="1"/>
  <c r="BN632" i="1"/>
  <c r="AX632" i="1"/>
  <c r="BR612" i="1"/>
  <c r="BP613" i="1"/>
  <c r="BR611" i="1"/>
  <c r="AE597" i="1"/>
  <c r="AA598" i="1"/>
  <c r="AV478" i="1"/>
  <c r="H479" i="1"/>
  <c r="J479" i="1"/>
  <c r="O478" i="1"/>
  <c r="AC478" i="1"/>
  <c r="BW634" i="1" l="1"/>
  <c r="BW635" i="1" s="1"/>
  <c r="BN633" i="1"/>
  <c r="AX633" i="1"/>
  <c r="BP614" i="1"/>
  <c r="BP615" i="1" s="1"/>
  <c r="BR613" i="1"/>
  <c r="AE598" i="1"/>
  <c r="AA599" i="1"/>
  <c r="AC479" i="1"/>
  <c r="J480" i="1"/>
  <c r="H480" i="1"/>
  <c r="AV479" i="1"/>
  <c r="O479" i="1"/>
  <c r="AX635" i="1" l="1"/>
  <c r="BN635" i="1"/>
  <c r="BW636" i="1"/>
  <c r="BW637" i="1" s="1"/>
  <c r="AX634" i="1"/>
  <c r="BN634" i="1"/>
  <c r="BP616" i="1"/>
  <c r="BR615" i="1"/>
  <c r="BR614" i="1"/>
  <c r="AE599" i="1"/>
  <c r="AA600" i="1"/>
  <c r="AA601" i="1" s="1"/>
  <c r="AV480" i="1"/>
  <c r="O480" i="1"/>
  <c r="J481" i="1"/>
  <c r="H481" i="1"/>
  <c r="AC480" i="1"/>
  <c r="BN637" i="1" l="1"/>
  <c r="AX637" i="1"/>
  <c r="BW638" i="1"/>
  <c r="BN636" i="1"/>
  <c r="AX636" i="1"/>
  <c r="BR616" i="1"/>
  <c r="BP617" i="1"/>
  <c r="BP618" i="1" s="1"/>
  <c r="AA602" i="1"/>
  <c r="AE601" i="1"/>
  <c r="AE600" i="1"/>
  <c r="J482" i="1"/>
  <c r="H482" i="1"/>
  <c r="AV481" i="1"/>
  <c r="O481" i="1"/>
  <c r="AC481" i="1"/>
  <c r="BW639" i="1" l="1"/>
  <c r="AX638" i="1"/>
  <c r="BN638" i="1"/>
  <c r="BR618" i="1"/>
  <c r="BP619" i="1"/>
  <c r="BR617" i="1"/>
  <c r="AA603" i="1"/>
  <c r="AA604" i="1" s="1"/>
  <c r="AE602" i="1"/>
  <c r="AV482" i="1"/>
  <c r="J483" i="1"/>
  <c r="H483" i="1"/>
  <c r="O482" i="1"/>
  <c r="AC482" i="1"/>
  <c r="BN639" i="1" l="1"/>
  <c r="BW640" i="1"/>
  <c r="AX639" i="1"/>
  <c r="BR619" i="1"/>
  <c r="BP620" i="1"/>
  <c r="AE604" i="1"/>
  <c r="AA605" i="1"/>
  <c r="AE603" i="1"/>
  <c r="AV483" i="1"/>
  <c r="H484" i="1"/>
  <c r="J484" i="1"/>
  <c r="O483" i="1"/>
  <c r="AC483" i="1"/>
  <c r="BN640" i="1" l="1"/>
  <c r="BW641" i="1"/>
  <c r="BW642" i="1" s="1"/>
  <c r="AX640" i="1"/>
  <c r="BR620" i="1"/>
  <c r="BP621" i="1"/>
  <c r="BP622" i="1" s="1"/>
  <c r="AE605" i="1"/>
  <c r="AA606" i="1"/>
  <c r="AV484" i="1"/>
  <c r="J485" i="1"/>
  <c r="H485" i="1"/>
  <c r="O484" i="1"/>
  <c r="AC484" i="1"/>
  <c r="AA442" i="3"/>
  <c r="AA443" i="3"/>
  <c r="AA440" i="3"/>
  <c r="AA441" i="3"/>
  <c r="AA438" i="3"/>
  <c r="AA439" i="3"/>
  <c r="AA437" i="3"/>
  <c r="BW643" i="1" l="1"/>
  <c r="BW644" i="1" s="1"/>
  <c r="BN642" i="1"/>
  <c r="AX642" i="1"/>
  <c r="BN641" i="1"/>
  <c r="AX641" i="1"/>
  <c r="BR622" i="1"/>
  <c r="BP623" i="1"/>
  <c r="BR621" i="1"/>
  <c r="AE606" i="1"/>
  <c r="AA607" i="1"/>
  <c r="AA608" i="1" s="1"/>
  <c r="O485" i="1"/>
  <c r="H486" i="1"/>
  <c r="J486" i="1"/>
  <c r="AV485" i="1"/>
  <c r="AC485" i="1"/>
  <c r="BN644" i="1" l="1"/>
  <c r="BW645" i="1"/>
  <c r="AX644" i="1"/>
  <c r="BN643" i="1"/>
  <c r="AX643" i="1"/>
  <c r="BR623" i="1"/>
  <c r="BP624" i="1"/>
  <c r="AA609" i="1"/>
  <c r="AE608" i="1"/>
  <c r="AE607" i="1"/>
  <c r="AV486" i="1"/>
  <c r="H487" i="1"/>
  <c r="J487" i="1"/>
  <c r="O486" i="1"/>
  <c r="AC486" i="1"/>
  <c r="BN645" i="1" l="1"/>
  <c r="AX645" i="1"/>
  <c r="BW646" i="1"/>
  <c r="BP625" i="1"/>
  <c r="BR624" i="1"/>
  <c r="AA610" i="1"/>
  <c r="AE609" i="1"/>
  <c r="AV487" i="1"/>
  <c r="H488" i="1"/>
  <c r="J488" i="1"/>
  <c r="O487" i="1"/>
  <c r="AC487" i="1"/>
  <c r="BN646" i="1" l="1"/>
  <c r="BW647" i="1"/>
  <c r="AX646" i="1"/>
  <c r="BP626" i="1"/>
  <c r="BR625" i="1"/>
  <c r="AE610" i="1"/>
  <c r="AA611" i="1"/>
  <c r="AA612" i="1" s="1"/>
  <c r="J489" i="1"/>
  <c r="H489" i="1"/>
  <c r="AV488" i="1"/>
  <c r="O488" i="1"/>
  <c r="AC488" i="1"/>
  <c r="BN647" i="1" l="1"/>
  <c r="BW648" i="1"/>
  <c r="AX647" i="1"/>
  <c r="BR626" i="1"/>
  <c r="BP627" i="1"/>
  <c r="AE612" i="1"/>
  <c r="AA613" i="1"/>
  <c r="AE611" i="1"/>
  <c r="AV489" i="1"/>
  <c r="J490" i="1"/>
  <c r="H490" i="1"/>
  <c r="O489" i="1"/>
  <c r="AC489" i="1"/>
  <c r="AX648" i="1" l="1"/>
  <c r="BW649" i="1"/>
  <c r="BW650" i="1" s="1"/>
  <c r="BN648" i="1"/>
  <c r="BR627" i="1"/>
  <c r="BP628" i="1"/>
  <c r="AE613" i="1"/>
  <c r="AA614" i="1"/>
  <c r="AA615" i="1" s="1"/>
  <c r="AV490" i="1"/>
  <c r="O490" i="1"/>
  <c r="H491" i="1"/>
  <c r="J491" i="1"/>
  <c r="AC490" i="1"/>
  <c r="BN650" i="1" l="1"/>
  <c r="BW651" i="1"/>
  <c r="AX650" i="1"/>
  <c r="BN649" i="1"/>
  <c r="AX649" i="1"/>
  <c r="BR628" i="1"/>
  <c r="BP629" i="1"/>
  <c r="AE615" i="1"/>
  <c r="AA616" i="1"/>
  <c r="AE614" i="1"/>
  <c r="AV491" i="1"/>
  <c r="H492" i="1"/>
  <c r="O491" i="1"/>
  <c r="J492" i="1"/>
  <c r="AC491" i="1"/>
  <c r="AA448" i="3"/>
  <c r="AA449" i="3"/>
  <c r="AA445" i="3"/>
  <c r="AA446" i="3"/>
  <c r="AA444" i="3"/>
  <c r="BN651" i="1" l="1"/>
  <c r="BW652" i="1"/>
  <c r="BW653" i="1" s="1"/>
  <c r="AX651" i="1"/>
  <c r="BR629" i="1"/>
  <c r="BP630" i="1"/>
  <c r="BP631" i="1" s="1"/>
  <c r="AE616" i="1"/>
  <c r="AA617" i="1"/>
  <c r="AA618" i="1" s="1"/>
  <c r="AV492" i="1"/>
  <c r="J493" i="1"/>
  <c r="H493" i="1"/>
  <c r="O492" i="1"/>
  <c r="AC492" i="1"/>
  <c r="AA447" i="3"/>
  <c r="BN653" i="1" l="1"/>
  <c r="BW654" i="1"/>
  <c r="AX653" i="1"/>
  <c r="BN652" i="1"/>
  <c r="AX652" i="1"/>
  <c r="BR631" i="1"/>
  <c r="BP632" i="1"/>
  <c r="BR630" i="1"/>
  <c r="AE618" i="1"/>
  <c r="AA619" i="1"/>
  <c r="AE617" i="1"/>
  <c r="AV493" i="1"/>
  <c r="J494" i="1"/>
  <c r="H494" i="1"/>
  <c r="O493" i="1"/>
  <c r="AC493" i="1"/>
  <c r="BN654" i="1" l="1"/>
  <c r="BW655" i="1"/>
  <c r="AX654" i="1"/>
  <c r="BP633" i="1"/>
  <c r="BR632" i="1"/>
  <c r="AE619" i="1"/>
  <c r="AA620" i="1"/>
  <c r="J495" i="1"/>
  <c r="H495" i="1"/>
  <c r="AV494" i="1"/>
  <c r="O494" i="1"/>
  <c r="AC494" i="1"/>
  <c r="BN655" i="1" l="1"/>
  <c r="BW656" i="1"/>
  <c r="AX655" i="1"/>
  <c r="BR633" i="1"/>
  <c r="BP634" i="1"/>
  <c r="BP635" i="1" s="1"/>
  <c r="AE620" i="1"/>
  <c r="AA621" i="1"/>
  <c r="AA622" i="1" s="1"/>
  <c r="AV495" i="1"/>
  <c r="J496" i="1"/>
  <c r="H496" i="1"/>
  <c r="O495" i="1"/>
  <c r="AC495" i="1"/>
  <c r="BN656" i="1" l="1"/>
  <c r="BW657" i="1"/>
  <c r="BW658" i="1" s="1"/>
  <c r="AX656" i="1"/>
  <c r="BR635" i="1"/>
  <c r="BP636" i="1"/>
  <c r="BP637" i="1" s="1"/>
  <c r="BR634" i="1"/>
  <c r="AE622" i="1"/>
  <c r="AA623" i="1"/>
  <c r="AE621" i="1"/>
  <c r="AV496" i="1"/>
  <c r="J497" i="1"/>
  <c r="H497" i="1"/>
  <c r="O496" i="1"/>
  <c r="AC496" i="1"/>
  <c r="BN658" i="1" l="1"/>
  <c r="BW659" i="1"/>
  <c r="AX658" i="1"/>
  <c r="BN657" i="1"/>
  <c r="AX657" i="1"/>
  <c r="BR637" i="1"/>
  <c r="BP638" i="1"/>
  <c r="BR636" i="1"/>
  <c r="AE623" i="1"/>
  <c r="AA624" i="1"/>
  <c r="AV497" i="1"/>
  <c r="O497" i="1"/>
  <c r="H498" i="1"/>
  <c r="J498" i="1"/>
  <c r="AC497" i="1"/>
  <c r="AA451" i="3"/>
  <c r="AA452" i="3"/>
  <c r="AA450" i="3"/>
  <c r="BN659" i="1" l="1"/>
  <c r="BW660" i="1"/>
  <c r="AX659" i="1"/>
  <c r="BR638" i="1"/>
  <c r="BP639" i="1"/>
  <c r="AE624" i="1"/>
  <c r="AA625" i="1"/>
  <c r="J499" i="1"/>
  <c r="H499" i="1"/>
  <c r="AV498" i="1"/>
  <c r="O498" i="1"/>
  <c r="AC498" i="1"/>
  <c r="BW661" i="1" l="1"/>
  <c r="BW662" i="1" s="1"/>
  <c r="AX660" i="1"/>
  <c r="BN660" i="1"/>
  <c r="BR639" i="1"/>
  <c r="BP640" i="1"/>
  <c r="AE625" i="1"/>
  <c r="AA626" i="1"/>
  <c r="AV499" i="1"/>
  <c r="J500" i="1"/>
  <c r="H500" i="1"/>
  <c r="O499" i="1"/>
  <c r="AC499" i="1"/>
  <c r="BN662" i="1" l="1"/>
  <c r="BW663" i="1"/>
  <c r="AX662" i="1"/>
  <c r="BN661" i="1"/>
  <c r="AX661" i="1"/>
  <c r="BR640" i="1"/>
  <c r="BP641" i="1"/>
  <c r="BP642" i="1" s="1"/>
  <c r="AE626" i="1"/>
  <c r="AA627" i="1"/>
  <c r="AV500" i="1"/>
  <c r="J501" i="1"/>
  <c r="H501" i="1"/>
  <c r="O500" i="1"/>
  <c r="AC500" i="1"/>
  <c r="BN663" i="1" l="1"/>
  <c r="BW664" i="1"/>
  <c r="BW665" i="1" s="1"/>
  <c r="AX663" i="1"/>
  <c r="BR642" i="1"/>
  <c r="BP643" i="1"/>
  <c r="BP644" i="1" s="1"/>
  <c r="BR641" i="1"/>
  <c r="AE627" i="1"/>
  <c r="AA628" i="1"/>
  <c r="AV501" i="1"/>
  <c r="J502" i="1"/>
  <c r="H502" i="1"/>
  <c r="O501" i="1"/>
  <c r="AC501" i="1"/>
  <c r="AA458" i="3"/>
  <c r="AA456" i="3"/>
  <c r="AA457" i="3"/>
  <c r="AA454" i="3"/>
  <c r="AA455" i="3"/>
  <c r="AA453" i="3"/>
  <c r="BN665" i="1" l="1"/>
  <c r="BW666" i="1"/>
  <c r="AX665" i="1"/>
  <c r="BN664" i="1"/>
  <c r="AX664" i="1"/>
  <c r="BP645" i="1"/>
  <c r="BR644" i="1"/>
  <c r="BR643" i="1"/>
  <c r="AE628" i="1"/>
  <c r="AA629" i="1"/>
  <c r="AV502" i="1"/>
  <c r="J503" i="1"/>
  <c r="H503" i="1"/>
  <c r="O502" i="1"/>
  <c r="AC502" i="1"/>
  <c r="BN666" i="1" l="1"/>
  <c r="BW667" i="1"/>
  <c r="AX666" i="1"/>
  <c r="BP646" i="1"/>
  <c r="BR645" i="1"/>
  <c r="AE629" i="1"/>
  <c r="AA630" i="1"/>
  <c r="AA631" i="1" s="1"/>
  <c r="H504" i="1"/>
  <c r="J504" i="1"/>
  <c r="AV503" i="1"/>
  <c r="O503" i="1"/>
  <c r="AC503" i="1"/>
  <c r="BN667" i="1" l="1"/>
  <c r="BW668" i="1"/>
  <c r="BW669" i="1" s="1"/>
  <c r="AX667" i="1"/>
  <c r="BR646" i="1"/>
  <c r="BP647" i="1"/>
  <c r="AA632" i="1"/>
  <c r="AE631" i="1"/>
  <c r="AE630" i="1"/>
  <c r="AV504" i="1"/>
  <c r="H505" i="1"/>
  <c r="J505" i="1"/>
  <c r="O504" i="1"/>
  <c r="AC504" i="1"/>
  <c r="BN669" i="1" l="1"/>
  <c r="BW670" i="1"/>
  <c r="AX669" i="1"/>
  <c r="BN668" i="1"/>
  <c r="AX668" i="1"/>
  <c r="BP648" i="1"/>
  <c r="BR647" i="1"/>
  <c r="AE632" i="1"/>
  <c r="AA633" i="1"/>
  <c r="AV505" i="1"/>
  <c r="H506" i="1"/>
  <c r="J506" i="1"/>
  <c r="O505" i="1"/>
  <c r="AC505" i="1"/>
  <c r="BN670" i="1" l="1"/>
  <c r="BW671" i="1"/>
  <c r="AX670" i="1"/>
  <c r="BR648" i="1"/>
  <c r="BP649" i="1"/>
  <c r="BP650" i="1" s="1"/>
  <c r="AA634" i="1"/>
  <c r="AA635" i="1" s="1"/>
  <c r="AE633" i="1"/>
  <c r="AV506" i="1"/>
  <c r="J507" i="1"/>
  <c r="H507" i="1"/>
  <c r="O506" i="1"/>
  <c r="AC506" i="1"/>
  <c r="AA462" i="3"/>
  <c r="AA463" i="3"/>
  <c r="AA460" i="3"/>
  <c r="AA461" i="3"/>
  <c r="AA459" i="3"/>
  <c r="BN671" i="1" l="1"/>
  <c r="BW672" i="1"/>
  <c r="BW673" i="1" s="1"/>
  <c r="AX671" i="1"/>
  <c r="BR650" i="1"/>
  <c r="BP651" i="1"/>
  <c r="BR649" i="1"/>
  <c r="AE635" i="1"/>
  <c r="AA636" i="1"/>
  <c r="AA637" i="1" s="1"/>
  <c r="AE634" i="1"/>
  <c r="AV507" i="1"/>
  <c r="J508" i="1"/>
  <c r="H508" i="1"/>
  <c r="O507" i="1"/>
  <c r="AC507" i="1"/>
  <c r="BN673" i="1" l="1"/>
  <c r="BW674" i="1"/>
  <c r="BW675" i="1" s="1"/>
  <c r="AX673" i="1"/>
  <c r="BN672" i="1"/>
  <c r="AX672" i="1"/>
  <c r="BR651" i="1"/>
  <c r="BP652" i="1"/>
  <c r="BP653" i="1" s="1"/>
  <c r="AE637" i="1"/>
  <c r="AA638" i="1"/>
  <c r="AE636" i="1"/>
  <c r="J509" i="1"/>
  <c r="H509" i="1"/>
  <c r="AV508" i="1"/>
  <c r="O508" i="1"/>
  <c r="AC508" i="1"/>
  <c r="BN675" i="1" l="1"/>
  <c r="AX675" i="1"/>
  <c r="BW676" i="1"/>
  <c r="BN674" i="1"/>
  <c r="AX674" i="1"/>
  <c r="BR653" i="1"/>
  <c r="BP654" i="1"/>
  <c r="BR652" i="1"/>
  <c r="AA639" i="1"/>
  <c r="AE638" i="1"/>
  <c r="AV509" i="1"/>
  <c r="J510" i="1"/>
  <c r="H510" i="1"/>
  <c r="O509" i="1"/>
  <c r="AC509" i="1"/>
  <c r="BN676" i="1" l="1"/>
  <c r="BW677" i="1"/>
  <c r="AX676" i="1"/>
  <c r="BR654" i="1"/>
  <c r="BP655" i="1"/>
  <c r="AE639" i="1"/>
  <c r="AA640" i="1"/>
  <c r="AV510" i="1"/>
  <c r="H511" i="1"/>
  <c r="J511" i="1"/>
  <c r="O510" i="1"/>
  <c r="AC510" i="1"/>
  <c r="BN677" i="1" l="1"/>
  <c r="BW678" i="1"/>
  <c r="AX677" i="1"/>
  <c r="BR655" i="1"/>
  <c r="BP656" i="1"/>
  <c r="AE640" i="1"/>
  <c r="AA641" i="1"/>
  <c r="AA642" i="1" s="1"/>
  <c r="AV511" i="1"/>
  <c r="J512" i="1"/>
  <c r="H512" i="1"/>
  <c r="O511" i="1"/>
  <c r="AC511" i="1"/>
  <c r="AA465" i="3"/>
  <c r="AA466" i="3"/>
  <c r="AA464" i="3"/>
  <c r="BN678" i="1" l="1"/>
  <c r="AX678" i="1"/>
  <c r="BW679" i="1"/>
  <c r="BW680" i="1" s="1"/>
  <c r="BR656" i="1"/>
  <c r="BP657" i="1"/>
  <c r="BP658" i="1" s="1"/>
  <c r="AA643" i="1"/>
  <c r="AA644" i="1" s="1"/>
  <c r="AE642" i="1"/>
  <c r="AE641" i="1"/>
  <c r="J513" i="1"/>
  <c r="H513" i="1"/>
  <c r="AV512" i="1"/>
  <c r="O512" i="1"/>
  <c r="AC512" i="1"/>
  <c r="BR971" i="1"/>
  <c r="CL987" i="1" s="1"/>
  <c r="CL989" i="1" s="1"/>
  <c r="BN680" i="1" l="1"/>
  <c r="BW681" i="1"/>
  <c r="AX680" i="1"/>
  <c r="BN679" i="1"/>
  <c r="AX679" i="1"/>
  <c r="BR658" i="1"/>
  <c r="BP659" i="1"/>
  <c r="BR657" i="1"/>
  <c r="AE644" i="1"/>
  <c r="AA645" i="1"/>
  <c r="AE643" i="1"/>
  <c r="AV513" i="1"/>
  <c r="J514" i="1"/>
  <c r="H514" i="1"/>
  <c r="O513" i="1"/>
  <c r="AC513" i="1"/>
  <c r="BA975" i="1"/>
  <c r="BC975" i="1" s="1"/>
  <c r="CL975" i="1"/>
  <c r="BN681" i="1" l="1"/>
  <c r="BW682" i="1"/>
  <c r="AX681" i="1"/>
  <c r="BR659" i="1"/>
  <c r="BP660" i="1"/>
  <c r="AE645" i="1"/>
  <c r="AA646" i="1"/>
  <c r="AV514" i="1"/>
  <c r="H515" i="1"/>
  <c r="J515" i="1"/>
  <c r="O514" i="1"/>
  <c r="AC514" i="1"/>
  <c r="BN682" i="1" l="1"/>
  <c r="BW683" i="1"/>
  <c r="BW684" i="1" s="1"/>
  <c r="AX682" i="1"/>
  <c r="BR660" i="1"/>
  <c r="BP661" i="1"/>
  <c r="BP662" i="1" s="1"/>
  <c r="AE646" i="1"/>
  <c r="AA647" i="1"/>
  <c r="AV515" i="1"/>
  <c r="J516" i="1"/>
  <c r="H516" i="1"/>
  <c r="O515" i="1"/>
  <c r="AC515" i="1"/>
  <c r="AA470" i="3"/>
  <c r="AA471" i="3"/>
  <c r="AA468" i="3"/>
  <c r="AA469" i="3"/>
  <c r="AA467" i="3"/>
  <c r="BN684" i="1" l="1"/>
  <c r="BW685" i="1"/>
  <c r="AX684" i="1"/>
  <c r="BN683" i="1"/>
  <c r="AX683" i="1"/>
  <c r="BR662" i="1"/>
  <c r="BP663" i="1"/>
  <c r="BR661" i="1"/>
  <c r="AE647" i="1"/>
  <c r="AA648" i="1"/>
  <c r="J517" i="1"/>
  <c r="H517" i="1"/>
  <c r="AV516" i="1"/>
  <c r="O516" i="1"/>
  <c r="AC516" i="1"/>
  <c r="BN685" i="1" l="1"/>
  <c r="BW686" i="1"/>
  <c r="BW687" i="1" s="1"/>
  <c r="AX685" i="1"/>
  <c r="BR663" i="1"/>
  <c r="BP664" i="1"/>
  <c r="BP665" i="1" s="1"/>
  <c r="AE648" i="1"/>
  <c r="AA649" i="1"/>
  <c r="AA650" i="1" s="1"/>
  <c r="AV517" i="1"/>
  <c r="H518" i="1"/>
  <c r="J518" i="1"/>
  <c r="O517" i="1"/>
  <c r="AC517" i="1"/>
  <c r="BN687" i="1" l="1"/>
  <c r="BW688" i="1"/>
  <c r="AX687" i="1"/>
  <c r="BN686" i="1"/>
  <c r="AX686" i="1"/>
  <c r="BR665" i="1"/>
  <c r="BP666" i="1"/>
  <c r="BR664" i="1"/>
  <c r="AA651" i="1"/>
  <c r="AE650" i="1"/>
  <c r="AE649" i="1"/>
  <c r="AV518" i="1"/>
  <c r="H519" i="1"/>
  <c r="J519" i="1"/>
  <c r="O518" i="1"/>
  <c r="AC518" i="1"/>
  <c r="BN688" i="1" l="1"/>
  <c r="BW689" i="1"/>
  <c r="AX688" i="1"/>
  <c r="BR666" i="1"/>
  <c r="BP667" i="1"/>
  <c r="AA652" i="1"/>
  <c r="AA653" i="1" s="1"/>
  <c r="AE651" i="1"/>
  <c r="AV519" i="1"/>
  <c r="J520" i="1"/>
  <c r="H520" i="1"/>
  <c r="O519" i="1"/>
  <c r="AC519" i="1"/>
  <c r="AA477" i="3"/>
  <c r="AA475" i="3"/>
  <c r="AA476" i="3"/>
  <c r="AA473" i="3"/>
  <c r="AA474" i="3"/>
  <c r="AA472" i="3"/>
  <c r="BN689" i="1" l="1"/>
  <c r="BW690" i="1"/>
  <c r="BW691" i="1" s="1"/>
  <c r="AX689" i="1"/>
  <c r="BR667" i="1"/>
  <c r="BP668" i="1"/>
  <c r="BP669" i="1" s="1"/>
  <c r="AA654" i="1"/>
  <c r="AE653" i="1"/>
  <c r="AE652" i="1"/>
  <c r="AV520" i="1"/>
  <c r="O520" i="1"/>
  <c r="J521" i="1"/>
  <c r="H521" i="1"/>
  <c r="AC520" i="1"/>
  <c r="BN691" i="1" l="1"/>
  <c r="BW692" i="1"/>
  <c r="AX691" i="1"/>
  <c r="BN690" i="1"/>
  <c r="AX690" i="1"/>
  <c r="BR669" i="1"/>
  <c r="BP670" i="1"/>
  <c r="BR668" i="1"/>
  <c r="AA655" i="1"/>
  <c r="AE654" i="1"/>
  <c r="AV521" i="1"/>
  <c r="O521" i="1"/>
  <c r="J522" i="1"/>
  <c r="H522" i="1"/>
  <c r="AC521" i="1"/>
  <c r="BN692" i="1" l="1"/>
  <c r="BW693" i="1"/>
  <c r="BW694" i="1" s="1"/>
  <c r="AX692" i="1"/>
  <c r="BR670" i="1"/>
  <c r="BP671" i="1"/>
  <c r="AA656" i="1"/>
  <c r="AE655" i="1"/>
  <c r="J523" i="1"/>
  <c r="H523" i="1"/>
  <c r="AV522" i="1"/>
  <c r="O522" i="1"/>
  <c r="AC522" i="1"/>
  <c r="BN694" i="1" l="1"/>
  <c r="BW695" i="1"/>
  <c r="AX694" i="1"/>
  <c r="BN693" i="1"/>
  <c r="AX693" i="1"/>
  <c r="BR671" i="1"/>
  <c r="BP672" i="1"/>
  <c r="BP673" i="1" s="1"/>
  <c r="AA657" i="1"/>
  <c r="AA658" i="1" s="1"/>
  <c r="AE656" i="1"/>
  <c r="H524" i="1"/>
  <c r="J524" i="1"/>
  <c r="AV523" i="1"/>
  <c r="O523" i="1"/>
  <c r="AC523" i="1"/>
  <c r="BN695" i="1" l="1"/>
  <c r="BW696" i="1"/>
  <c r="AX695" i="1"/>
  <c r="BR673" i="1"/>
  <c r="BP674" i="1"/>
  <c r="BP675" i="1" s="1"/>
  <c r="BR672" i="1"/>
  <c r="AE658" i="1"/>
  <c r="AA659" i="1"/>
  <c r="AE657" i="1"/>
  <c r="AV524" i="1"/>
  <c r="J525" i="1"/>
  <c r="H525" i="1"/>
  <c r="O524" i="1"/>
  <c r="AC524" i="1"/>
  <c r="BN696" i="1" l="1"/>
  <c r="BW697" i="1"/>
  <c r="AX696" i="1"/>
  <c r="BR675" i="1"/>
  <c r="BP676" i="1"/>
  <c r="BR674" i="1"/>
  <c r="AE659" i="1"/>
  <c r="AA660" i="1"/>
  <c r="AV525" i="1"/>
  <c r="J526" i="1"/>
  <c r="H526" i="1"/>
  <c r="O525" i="1"/>
  <c r="AC525" i="1"/>
  <c r="AA481" i="3"/>
  <c r="AA479" i="3"/>
  <c r="AA480" i="3"/>
  <c r="AA478" i="3"/>
  <c r="BW698" i="1" l="1"/>
  <c r="BW699" i="1" s="1"/>
  <c r="BN697" i="1"/>
  <c r="AX697" i="1"/>
  <c r="BR676" i="1"/>
  <c r="BP677" i="1"/>
  <c r="AE660" i="1"/>
  <c r="AA661" i="1"/>
  <c r="AA662" i="1" s="1"/>
  <c r="AV526" i="1"/>
  <c r="O526" i="1"/>
  <c r="J527" i="1"/>
  <c r="H527" i="1"/>
  <c r="AC526" i="1"/>
  <c r="BN699" i="1" l="1"/>
  <c r="AX699" i="1"/>
  <c r="BW700" i="1"/>
  <c r="BN698" i="1"/>
  <c r="AX698" i="1"/>
  <c r="BR677" i="1"/>
  <c r="BP678" i="1"/>
  <c r="AE662" i="1"/>
  <c r="AA663" i="1"/>
  <c r="AE661" i="1"/>
  <c r="J528" i="1"/>
  <c r="H528" i="1"/>
  <c r="AV527" i="1"/>
  <c r="O527" i="1"/>
  <c r="AC527" i="1"/>
  <c r="BN700" i="1" l="1"/>
  <c r="BW701" i="1"/>
  <c r="BW702" i="1" s="1"/>
  <c r="BW703" i="1" s="1"/>
  <c r="AX700" i="1"/>
  <c r="BR678" i="1"/>
  <c r="BP679" i="1"/>
  <c r="BP680" i="1" s="1"/>
  <c r="AE663" i="1"/>
  <c r="AA664" i="1"/>
  <c r="AA665" i="1" s="1"/>
  <c r="AV528" i="1"/>
  <c r="H529" i="1"/>
  <c r="J529" i="1"/>
  <c r="O528" i="1"/>
  <c r="AC528" i="1"/>
  <c r="BN703" i="1" l="1"/>
  <c r="BW704" i="1"/>
  <c r="BW705" i="1" s="1"/>
  <c r="BW706" i="1" s="1"/>
  <c r="AX703" i="1"/>
  <c r="BN702" i="1"/>
  <c r="AX702" i="1"/>
  <c r="BN701" i="1"/>
  <c r="AX701" i="1"/>
  <c r="BP681" i="1"/>
  <c r="BR680" i="1"/>
  <c r="BR679" i="1"/>
  <c r="AA666" i="1"/>
  <c r="AE665" i="1"/>
  <c r="AE664" i="1"/>
  <c r="AV529" i="1"/>
  <c r="J530" i="1"/>
  <c r="H530" i="1"/>
  <c r="O529" i="1"/>
  <c r="AC529" i="1"/>
  <c r="AA483" i="3"/>
  <c r="AA484" i="3"/>
  <c r="AA482" i="3"/>
  <c r="BN706" i="1" l="1"/>
  <c r="BW707" i="1"/>
  <c r="AX706" i="1"/>
  <c r="BN705" i="1"/>
  <c r="AX705" i="1"/>
  <c r="BN704" i="1"/>
  <c r="AX704" i="1"/>
  <c r="BR681" i="1"/>
  <c r="BP682" i="1"/>
  <c r="AE666" i="1"/>
  <c r="AA667" i="1"/>
  <c r="H531" i="1"/>
  <c r="J531" i="1"/>
  <c r="AV530" i="1"/>
  <c r="O530" i="1"/>
  <c r="AC530" i="1"/>
  <c r="BN707" i="1" l="1"/>
  <c r="BW708" i="1"/>
  <c r="AX707" i="1"/>
  <c r="BR682" i="1"/>
  <c r="BP683" i="1"/>
  <c r="BP684" i="1" s="1"/>
  <c r="AE667" i="1"/>
  <c r="AA668" i="1"/>
  <c r="AA669" i="1" s="1"/>
  <c r="AV531" i="1"/>
  <c r="H532" i="1"/>
  <c r="J532" i="1"/>
  <c r="O531" i="1"/>
  <c r="AC531" i="1"/>
  <c r="BN708" i="1" l="1"/>
  <c r="BW709" i="1"/>
  <c r="AX708" i="1"/>
  <c r="BR684" i="1"/>
  <c r="BP685" i="1"/>
  <c r="BR683" i="1"/>
  <c r="AE669" i="1"/>
  <c r="AA670" i="1"/>
  <c r="AE668" i="1"/>
  <c r="O532" i="1"/>
  <c r="J533" i="1"/>
  <c r="H533" i="1"/>
  <c r="AV532" i="1"/>
  <c r="AC532" i="1"/>
  <c r="BN709" i="1" l="1"/>
  <c r="BW710" i="1"/>
  <c r="BW711" i="1" s="1"/>
  <c r="AX709" i="1"/>
  <c r="BR685" i="1"/>
  <c r="BP686" i="1"/>
  <c r="BP687" i="1" s="1"/>
  <c r="AE670" i="1"/>
  <c r="AA671" i="1"/>
  <c r="AV533" i="1"/>
  <c r="J534" i="1"/>
  <c r="H534" i="1"/>
  <c r="O533" i="1"/>
  <c r="AC533" i="1"/>
  <c r="AA488" i="3"/>
  <c r="AA489" i="3"/>
  <c r="AA486" i="3"/>
  <c r="AA487" i="3"/>
  <c r="AA485" i="3"/>
  <c r="BN711" i="1" l="1"/>
  <c r="BW712" i="1"/>
  <c r="AX711" i="1"/>
  <c r="BN710" i="1"/>
  <c r="AX710" i="1"/>
  <c r="BR687" i="1"/>
  <c r="BP688" i="1"/>
  <c r="BR686" i="1"/>
  <c r="AE671" i="1"/>
  <c r="AA672" i="1"/>
  <c r="AA673" i="1" s="1"/>
  <c r="J535" i="1"/>
  <c r="H535" i="1"/>
  <c r="AV534" i="1"/>
  <c r="O534" i="1"/>
  <c r="AC534" i="1"/>
  <c r="BN712" i="1" l="1"/>
  <c r="BW713" i="1"/>
  <c r="BW714" i="1" s="1"/>
  <c r="AX712" i="1"/>
  <c r="BR688" i="1"/>
  <c r="BP689" i="1"/>
  <c r="AE673" i="1"/>
  <c r="AA674" i="1"/>
  <c r="AA675" i="1" s="1"/>
  <c r="AE672" i="1"/>
  <c r="O535" i="1"/>
  <c r="J536" i="1"/>
  <c r="H536" i="1"/>
  <c r="AV535" i="1"/>
  <c r="AC535" i="1"/>
  <c r="BN714" i="1" l="1"/>
  <c r="AX714" i="1"/>
  <c r="BW715" i="1"/>
  <c r="BN713" i="1"/>
  <c r="AX713" i="1"/>
  <c r="BR689" i="1"/>
  <c r="BP690" i="1"/>
  <c r="BP691" i="1" s="1"/>
  <c r="AA676" i="1"/>
  <c r="AE675" i="1"/>
  <c r="AE674" i="1"/>
  <c r="AV536" i="1"/>
  <c r="H537" i="1"/>
  <c r="J537" i="1"/>
  <c r="O536" i="1"/>
  <c r="AC536" i="1"/>
  <c r="BN715" i="1" l="1"/>
  <c r="BW716" i="1"/>
  <c r="AX715" i="1"/>
  <c r="BR691" i="1"/>
  <c r="BP692" i="1"/>
  <c r="BR690" i="1"/>
  <c r="AE676" i="1"/>
  <c r="AA677" i="1"/>
  <c r="O537" i="1"/>
  <c r="J538" i="1"/>
  <c r="H538" i="1"/>
  <c r="AV537" i="1"/>
  <c r="AC537" i="1"/>
  <c r="AA493" i="3"/>
  <c r="AA494" i="3"/>
  <c r="AA491" i="3"/>
  <c r="AA492" i="3"/>
  <c r="AA490" i="3"/>
  <c r="BN716" i="1" l="1"/>
  <c r="BW717" i="1"/>
  <c r="AX716" i="1"/>
  <c r="BR692" i="1"/>
  <c r="BP693" i="1"/>
  <c r="AE677" i="1"/>
  <c r="AA678" i="1"/>
  <c r="AC538" i="1"/>
  <c r="J539" i="1"/>
  <c r="H539" i="1"/>
  <c r="O538" i="1"/>
  <c r="AV538" i="1"/>
  <c r="BN717" i="1" l="1"/>
  <c r="BW718" i="1"/>
  <c r="AX717" i="1"/>
  <c r="BR693" i="1"/>
  <c r="BP694" i="1"/>
  <c r="AE678" i="1"/>
  <c r="AA679" i="1"/>
  <c r="AA680" i="1" s="1"/>
  <c r="H540" i="1"/>
  <c r="J540" i="1"/>
  <c r="AV539" i="1"/>
  <c r="O539" i="1"/>
  <c r="AC539" i="1"/>
  <c r="BN718" i="1" l="1"/>
  <c r="BW719" i="1"/>
  <c r="BW720" i="1" s="1"/>
  <c r="AX718" i="1"/>
  <c r="BR694" i="1"/>
  <c r="BP695" i="1"/>
  <c r="AE680" i="1"/>
  <c r="AA681" i="1"/>
  <c r="AE679" i="1"/>
  <c r="AV540" i="1"/>
  <c r="H541" i="1"/>
  <c r="J541" i="1"/>
  <c r="O540" i="1"/>
  <c r="AC540" i="1"/>
  <c r="BN720" i="1" l="1"/>
  <c r="BW721" i="1"/>
  <c r="AX720" i="1"/>
  <c r="BN719" i="1"/>
  <c r="AX719" i="1"/>
  <c r="BR695" i="1"/>
  <c r="BP696" i="1"/>
  <c r="AE681" i="1"/>
  <c r="AA682" i="1"/>
  <c r="O541" i="1"/>
  <c r="J542" i="1"/>
  <c r="H542" i="1"/>
  <c r="AV541" i="1"/>
  <c r="AC541" i="1"/>
  <c r="BN721" i="1" l="1"/>
  <c r="BW722" i="1"/>
  <c r="AX721" i="1"/>
  <c r="BR696" i="1"/>
  <c r="BP697" i="1"/>
  <c r="AE682" i="1"/>
  <c r="AA683" i="1"/>
  <c r="AA684" i="1" s="1"/>
  <c r="AV542" i="1"/>
  <c r="J543" i="1"/>
  <c r="H543" i="1"/>
  <c r="O542" i="1"/>
  <c r="AC542" i="1"/>
  <c r="AA498" i="3"/>
  <c r="AA496" i="3"/>
  <c r="AA497" i="3"/>
  <c r="AA495" i="3"/>
  <c r="AX722" i="1" l="1"/>
  <c r="BW723" i="1"/>
  <c r="BW724" i="1" s="1"/>
  <c r="BN722" i="1"/>
  <c r="BR697" i="1"/>
  <c r="BP698" i="1"/>
  <c r="BP699" i="1" s="1"/>
  <c r="AE684" i="1"/>
  <c r="AA685" i="1"/>
  <c r="AE683" i="1"/>
  <c r="AV543" i="1"/>
  <c r="J544" i="1"/>
  <c r="H544" i="1"/>
  <c r="O543" i="1"/>
  <c r="AC543" i="1"/>
  <c r="BN724" i="1" l="1"/>
  <c r="AX724" i="1"/>
  <c r="BW725" i="1"/>
  <c r="BN723" i="1"/>
  <c r="AX723" i="1"/>
  <c r="BR699" i="1"/>
  <c r="BP700" i="1"/>
  <c r="BR698" i="1"/>
  <c r="AE685" i="1"/>
  <c r="AA686" i="1"/>
  <c r="AA687" i="1" s="1"/>
  <c r="J545" i="1"/>
  <c r="H545" i="1"/>
  <c r="AV544" i="1"/>
  <c r="O544" i="1"/>
  <c r="AC544" i="1"/>
  <c r="BN725" i="1" l="1"/>
  <c r="BW726" i="1"/>
  <c r="AX725" i="1"/>
  <c r="BR700" i="1"/>
  <c r="BP701" i="1"/>
  <c r="BP702" i="1" s="1"/>
  <c r="BP703" i="1" s="1"/>
  <c r="AA688" i="1"/>
  <c r="AE687" i="1"/>
  <c r="AE686" i="1"/>
  <c r="AV545" i="1"/>
  <c r="J546" i="1"/>
  <c r="H546" i="1"/>
  <c r="O545" i="1"/>
  <c r="AC545" i="1"/>
  <c r="BN726" i="1" l="1"/>
  <c r="BW727" i="1"/>
  <c r="AX726" i="1"/>
  <c r="BR703" i="1"/>
  <c r="BP704" i="1"/>
  <c r="BP705" i="1" s="1"/>
  <c r="BP706" i="1" s="1"/>
  <c r="BR702" i="1"/>
  <c r="BR701" i="1"/>
  <c r="AE688" i="1"/>
  <c r="AA689" i="1"/>
  <c r="AV546" i="1"/>
  <c r="H547" i="1"/>
  <c r="J547" i="1"/>
  <c r="O546" i="1"/>
  <c r="AC546" i="1"/>
  <c r="AA502" i="3"/>
  <c r="AA503" i="3"/>
  <c r="AA500" i="3"/>
  <c r="AA501" i="3"/>
  <c r="AA499" i="3"/>
  <c r="BN727" i="1" l="1"/>
  <c r="BW728" i="1"/>
  <c r="BW729" i="1" s="1"/>
  <c r="AX727" i="1"/>
  <c r="BR706" i="1"/>
  <c r="BP707" i="1"/>
  <c r="BR705" i="1"/>
  <c r="BR704" i="1"/>
  <c r="AE689" i="1"/>
  <c r="AA690" i="1"/>
  <c r="AA691" i="1" s="1"/>
  <c r="AV547" i="1"/>
  <c r="J548" i="1"/>
  <c r="H548" i="1"/>
  <c r="O547" i="1"/>
  <c r="AC547" i="1"/>
  <c r="BN729" i="1" l="1"/>
  <c r="BW730" i="1"/>
  <c r="AX729" i="1"/>
  <c r="BN728" i="1"/>
  <c r="AX728" i="1"/>
  <c r="BR707" i="1"/>
  <c r="BP708" i="1"/>
  <c r="AE691" i="1"/>
  <c r="AA692" i="1"/>
  <c r="AE690" i="1"/>
  <c r="J549" i="1"/>
  <c r="H549" i="1"/>
  <c r="AV548" i="1"/>
  <c r="O548" i="1"/>
  <c r="AC548" i="1"/>
  <c r="BN730" i="1" l="1"/>
  <c r="BW731" i="1"/>
  <c r="AX730" i="1"/>
  <c r="BR708" i="1"/>
  <c r="BP709" i="1"/>
  <c r="AE692" i="1"/>
  <c r="AA693" i="1"/>
  <c r="AA694" i="1" s="1"/>
  <c r="AV549" i="1"/>
  <c r="J550" i="1"/>
  <c r="H550" i="1"/>
  <c r="O549" i="1"/>
  <c r="AC549" i="1"/>
  <c r="BN731" i="1" l="1"/>
  <c r="BW732" i="1"/>
  <c r="BW733" i="1" s="1"/>
  <c r="AX731" i="1"/>
  <c r="BR709" i="1"/>
  <c r="BP710" i="1"/>
  <c r="BP711" i="1" s="1"/>
  <c r="AE694" i="1"/>
  <c r="AA695" i="1"/>
  <c r="AE693" i="1"/>
  <c r="AV550" i="1"/>
  <c r="J551" i="1"/>
  <c r="H551" i="1"/>
  <c r="O550" i="1"/>
  <c r="AC550" i="1"/>
  <c r="BN733" i="1" l="1"/>
  <c r="BW734" i="1"/>
  <c r="BW735" i="1" s="1"/>
  <c r="AX733" i="1"/>
  <c r="BN732" i="1"/>
  <c r="AX732" i="1"/>
  <c r="BR711" i="1"/>
  <c r="BP712" i="1"/>
  <c r="BR710" i="1"/>
  <c r="AA696" i="1"/>
  <c r="AE695" i="1"/>
  <c r="AV551" i="1"/>
  <c r="J552" i="1"/>
  <c r="H552" i="1"/>
  <c r="O551" i="1"/>
  <c r="AC551" i="1"/>
  <c r="AA509" i="3"/>
  <c r="AA507" i="3"/>
  <c r="AA508" i="3"/>
  <c r="AA505" i="3"/>
  <c r="AA506" i="3"/>
  <c r="AA504" i="3"/>
  <c r="BN735" i="1" l="1"/>
  <c r="BW736" i="1"/>
  <c r="AX735" i="1"/>
  <c r="BN734" i="1"/>
  <c r="AX734" i="1"/>
  <c r="BR712" i="1"/>
  <c r="BP713" i="1"/>
  <c r="BP714" i="1" s="1"/>
  <c r="AE696" i="1"/>
  <c r="AA697" i="1"/>
  <c r="O552" i="1"/>
  <c r="J553" i="1"/>
  <c r="H553" i="1"/>
  <c r="AV552" i="1"/>
  <c r="AC552" i="1"/>
  <c r="BN736" i="1" l="1"/>
  <c r="BW737" i="1"/>
  <c r="AX736" i="1"/>
  <c r="BR714" i="1"/>
  <c r="BP715" i="1"/>
  <c r="BR713" i="1"/>
  <c r="AE697" i="1"/>
  <c r="AA698" i="1"/>
  <c r="AA699" i="1" s="1"/>
  <c r="AV553" i="1"/>
  <c r="H554" i="1"/>
  <c r="O553" i="1"/>
  <c r="J554" i="1"/>
  <c r="AC553" i="1"/>
  <c r="BN737" i="1" l="1"/>
  <c r="BW738" i="1"/>
  <c r="BW739" i="1" s="1"/>
  <c r="AX737" i="1"/>
  <c r="BR715" i="1"/>
  <c r="BP716" i="1"/>
  <c r="AE699" i="1"/>
  <c r="AA700" i="1"/>
  <c r="AE698" i="1"/>
  <c r="H555" i="1"/>
  <c r="J555" i="1"/>
  <c r="AV554" i="1"/>
  <c r="O554" i="1"/>
  <c r="AC554" i="1"/>
  <c r="BW740" i="1" l="1"/>
  <c r="AX739" i="1"/>
  <c r="BN739" i="1"/>
  <c r="BN738" i="1"/>
  <c r="AX738" i="1"/>
  <c r="BR716" i="1"/>
  <c r="BP717" i="1"/>
  <c r="AE700" i="1"/>
  <c r="AA701" i="1"/>
  <c r="AA702" i="1" s="1"/>
  <c r="AA703" i="1" s="1"/>
  <c r="AV555" i="1"/>
  <c r="J556" i="1"/>
  <c r="H556" i="1"/>
  <c r="O555" i="1"/>
  <c r="AC555" i="1"/>
  <c r="BN740" i="1" l="1"/>
  <c r="AX740" i="1"/>
  <c r="BW741" i="1"/>
  <c r="BR717" i="1"/>
  <c r="BP718" i="1"/>
  <c r="AA704" i="1"/>
  <c r="AA705" i="1" s="1"/>
  <c r="AA706" i="1" s="1"/>
  <c r="AE703" i="1"/>
  <c r="AE702" i="1"/>
  <c r="AE701" i="1"/>
  <c r="O556" i="1"/>
  <c r="J557" i="1"/>
  <c r="H557" i="1"/>
  <c r="AV556" i="1"/>
  <c r="AC556" i="1"/>
  <c r="BN741" i="1" l="1"/>
  <c r="BW742" i="1"/>
  <c r="BW743" i="1" s="1"/>
  <c r="AX741" i="1"/>
  <c r="BR718" i="1"/>
  <c r="BP719" i="1"/>
  <c r="BP720" i="1" s="1"/>
  <c r="AE706" i="1"/>
  <c r="AA707" i="1"/>
  <c r="AE705" i="1"/>
  <c r="AE704" i="1"/>
  <c r="AV557" i="1"/>
  <c r="J558" i="1"/>
  <c r="H558" i="1"/>
  <c r="O557" i="1"/>
  <c r="AC557" i="1"/>
  <c r="AA511" i="3"/>
  <c r="AA512" i="3"/>
  <c r="AA510" i="3"/>
  <c r="BN743" i="1" l="1"/>
  <c r="AX743" i="1"/>
  <c r="BW744" i="1"/>
  <c r="BW745" i="1" s="1"/>
  <c r="BN742" i="1"/>
  <c r="AX742" i="1"/>
  <c r="BR720" i="1"/>
  <c r="BP721" i="1"/>
  <c r="BR719" i="1"/>
  <c r="AE707" i="1"/>
  <c r="AA708" i="1"/>
  <c r="AV558" i="1"/>
  <c r="H559" i="1"/>
  <c r="J559" i="1"/>
  <c r="O558" i="1"/>
  <c r="AC558" i="1"/>
  <c r="BN745" i="1" l="1"/>
  <c r="BW746" i="1"/>
  <c r="AX745" i="1"/>
  <c r="BN744" i="1"/>
  <c r="AX744" i="1"/>
  <c r="BR721" i="1"/>
  <c r="BP722" i="1"/>
  <c r="AE708" i="1"/>
  <c r="AA709" i="1"/>
  <c r="J560" i="1"/>
  <c r="H560" i="1"/>
  <c r="O559" i="1"/>
  <c r="AV559" i="1"/>
  <c r="AC559" i="1"/>
  <c r="BN746" i="1" l="1"/>
  <c r="BW747" i="1"/>
  <c r="BW748" i="1" s="1"/>
  <c r="AX746" i="1"/>
  <c r="BR722" i="1"/>
  <c r="BP723" i="1"/>
  <c r="BP724" i="1" s="1"/>
  <c r="AE709" i="1"/>
  <c r="AA710" i="1"/>
  <c r="AA711" i="1" s="1"/>
  <c r="AV560" i="1"/>
  <c r="H561" i="1"/>
  <c r="J561" i="1"/>
  <c r="O560" i="1"/>
  <c r="AC560" i="1"/>
  <c r="BW749" i="1" l="1"/>
  <c r="AX748" i="1"/>
  <c r="BN748" i="1"/>
  <c r="BN747" i="1"/>
  <c r="AX747" i="1"/>
  <c r="BR724" i="1"/>
  <c r="BP725" i="1"/>
  <c r="BR723" i="1"/>
  <c r="AE711" i="1"/>
  <c r="AA712" i="1"/>
  <c r="AE710" i="1"/>
  <c r="O561" i="1"/>
  <c r="H562" i="1"/>
  <c r="J562" i="1"/>
  <c r="AV561" i="1"/>
  <c r="AC561" i="1"/>
  <c r="AA517" i="3"/>
  <c r="AA518" i="3"/>
  <c r="AA513" i="3"/>
  <c r="BN749" i="1" l="1"/>
  <c r="BW750" i="1"/>
  <c r="AX749" i="1"/>
  <c r="BR725" i="1"/>
  <c r="BP726" i="1"/>
  <c r="AE712" i="1"/>
  <c r="AA713" i="1"/>
  <c r="AA714" i="1" s="1"/>
  <c r="AV562" i="1"/>
  <c r="J563" i="1"/>
  <c r="H563" i="1"/>
  <c r="O562" i="1"/>
  <c r="AC562" i="1"/>
  <c r="BN750" i="1" l="1"/>
  <c r="BW751" i="1"/>
  <c r="AX750" i="1"/>
  <c r="BR726" i="1"/>
  <c r="BP727" i="1"/>
  <c r="AE714" i="1"/>
  <c r="AA715" i="1"/>
  <c r="AE713" i="1"/>
  <c r="AV563" i="1"/>
  <c r="J564" i="1"/>
  <c r="H564" i="1"/>
  <c r="O563" i="1"/>
  <c r="AC563" i="1"/>
  <c r="BN751" i="1" l="1"/>
  <c r="BW752" i="1"/>
  <c r="BW753" i="1" s="1"/>
  <c r="AX751" i="1"/>
  <c r="BR727" i="1"/>
  <c r="BP728" i="1"/>
  <c r="BP729" i="1" s="1"/>
  <c r="AE715" i="1"/>
  <c r="AA716" i="1"/>
  <c r="H565" i="1"/>
  <c r="J565" i="1"/>
  <c r="AV564" i="1"/>
  <c r="O564" i="1"/>
  <c r="AC564" i="1"/>
  <c r="BN753" i="1" l="1"/>
  <c r="BW754" i="1"/>
  <c r="AX753" i="1"/>
  <c r="BN752" i="1"/>
  <c r="AX752" i="1"/>
  <c r="BR729" i="1"/>
  <c r="BP730" i="1"/>
  <c r="BR728" i="1"/>
  <c r="AE716" i="1"/>
  <c r="AA717" i="1"/>
  <c r="O565" i="1"/>
  <c r="J566" i="1"/>
  <c r="H566" i="1"/>
  <c r="AV565" i="1"/>
  <c r="AC565" i="1"/>
  <c r="AX754" i="1" l="1"/>
  <c r="BW755" i="1"/>
  <c r="BN754" i="1"/>
  <c r="BR730" i="1"/>
  <c r="BP731" i="1"/>
  <c r="AA718" i="1"/>
  <c r="AE717" i="1"/>
  <c r="O566" i="1"/>
  <c r="H567" i="1"/>
  <c r="J567" i="1"/>
  <c r="AV566" i="1"/>
  <c r="AC566" i="1"/>
  <c r="BN755" i="1" l="1"/>
  <c r="BW756" i="1"/>
  <c r="BW757" i="1" s="1"/>
  <c r="AX755" i="1"/>
  <c r="BR731" i="1"/>
  <c r="BP732" i="1"/>
  <c r="BP733" i="1" s="1"/>
  <c r="AE718" i="1"/>
  <c r="AA719" i="1"/>
  <c r="AA720" i="1" s="1"/>
  <c r="AV567" i="1"/>
  <c r="J568" i="1"/>
  <c r="H568" i="1"/>
  <c r="O567" i="1"/>
  <c r="AC567" i="1"/>
  <c r="AA522" i="3"/>
  <c r="AA523" i="3"/>
  <c r="AA520" i="3"/>
  <c r="AA521" i="3"/>
  <c r="AA519" i="3"/>
  <c r="BN757" i="1" l="1"/>
  <c r="BW758" i="1"/>
  <c r="BW759" i="1" s="1"/>
  <c r="AX757" i="1"/>
  <c r="BN756" i="1"/>
  <c r="AX756" i="1"/>
  <c r="BR733" i="1"/>
  <c r="BP734" i="1"/>
  <c r="BP735" i="1" s="1"/>
  <c r="BR732" i="1"/>
  <c r="AA721" i="1"/>
  <c r="AE720" i="1"/>
  <c r="AE719" i="1"/>
  <c r="AV568" i="1"/>
  <c r="J569" i="1"/>
  <c r="H569" i="1"/>
  <c r="O568" i="1"/>
  <c r="AC568" i="1"/>
  <c r="BN759" i="1" l="1"/>
  <c r="BW760" i="1"/>
  <c r="AX759" i="1"/>
  <c r="BN758" i="1"/>
  <c r="AX758" i="1"/>
  <c r="BR735" i="1"/>
  <c r="BP736" i="1"/>
  <c r="BR734" i="1"/>
  <c r="AE721" i="1"/>
  <c r="AA722" i="1"/>
  <c r="H570" i="1"/>
  <c r="J570" i="1"/>
  <c r="AV569" i="1"/>
  <c r="O569" i="1"/>
  <c r="AC569" i="1"/>
  <c r="BN760" i="1" l="1"/>
  <c r="BW761" i="1"/>
  <c r="BW762" i="1" s="1"/>
  <c r="AX760" i="1"/>
  <c r="BR736" i="1"/>
  <c r="BP737" i="1"/>
  <c r="AE722" i="1"/>
  <c r="AA723" i="1"/>
  <c r="AA724" i="1" s="1"/>
  <c r="J571" i="1"/>
  <c r="H571" i="1"/>
  <c r="AV570" i="1"/>
  <c r="O570" i="1"/>
  <c r="AC570" i="1"/>
  <c r="BN762" i="1" l="1"/>
  <c r="BW763" i="1"/>
  <c r="AX762" i="1"/>
  <c r="AX761" i="1"/>
  <c r="BN761" i="1"/>
  <c r="BR737" i="1"/>
  <c r="BP738" i="1"/>
  <c r="BP739" i="1" s="1"/>
  <c r="AE724" i="1"/>
  <c r="AA725" i="1"/>
  <c r="AE723" i="1"/>
  <c r="AV571" i="1"/>
  <c r="H572" i="1"/>
  <c r="J572" i="1"/>
  <c r="O571" i="1"/>
  <c r="AC571" i="1"/>
  <c r="BW764" i="1" l="1"/>
  <c r="AX763" i="1"/>
  <c r="BN763" i="1"/>
  <c r="BR739" i="1"/>
  <c r="BP740" i="1"/>
  <c r="BR738" i="1"/>
  <c r="AE725" i="1"/>
  <c r="AA726" i="1"/>
  <c r="H573" i="1"/>
  <c r="J573" i="1"/>
  <c r="AV572" i="1"/>
  <c r="O572" i="1"/>
  <c r="AC572" i="1"/>
  <c r="AA527" i="3"/>
  <c r="AA525" i="3"/>
  <c r="AA526" i="3"/>
  <c r="AA524" i="3"/>
  <c r="BW765" i="1" l="1"/>
  <c r="BN764" i="1"/>
  <c r="AX764" i="1"/>
  <c r="BR740" i="1"/>
  <c r="BP741" i="1"/>
  <c r="AE726" i="1"/>
  <c r="AA727" i="1"/>
  <c r="AV573" i="1"/>
  <c r="J574" i="1"/>
  <c r="H574" i="1"/>
  <c r="O573" i="1"/>
  <c r="AC573" i="1"/>
  <c r="BN765" i="1" l="1"/>
  <c r="BW766" i="1"/>
  <c r="BW767" i="1" s="1"/>
  <c r="AX765" i="1"/>
  <c r="BR741" i="1"/>
  <c r="BP742" i="1"/>
  <c r="BP743" i="1" s="1"/>
  <c r="AE727" i="1"/>
  <c r="AA728" i="1"/>
  <c r="AA729" i="1" s="1"/>
  <c r="AV574" i="1"/>
  <c r="H575" i="1"/>
  <c r="J575" i="1"/>
  <c r="O574" i="1"/>
  <c r="AC574" i="1"/>
  <c r="BN767" i="1" l="1"/>
  <c r="AX767" i="1"/>
  <c r="BW768" i="1"/>
  <c r="BW769" i="1" s="1"/>
  <c r="BN766" i="1"/>
  <c r="AX766" i="1"/>
  <c r="BR743" i="1"/>
  <c r="BP744" i="1"/>
  <c r="BP745" i="1" s="1"/>
  <c r="BR742" i="1"/>
  <c r="AE729" i="1"/>
  <c r="AA730" i="1"/>
  <c r="AE728" i="1"/>
  <c r="AV575" i="1"/>
  <c r="J576" i="1"/>
  <c r="H576" i="1"/>
  <c r="O575" i="1"/>
  <c r="AC575" i="1"/>
  <c r="AA533" i="3"/>
  <c r="AA531" i="3"/>
  <c r="AA532" i="3"/>
  <c r="AA529" i="3"/>
  <c r="AA530" i="3"/>
  <c r="AA528" i="3"/>
  <c r="BN769" i="1" l="1"/>
  <c r="BW770" i="1"/>
  <c r="AX769" i="1"/>
  <c r="BN768" i="1"/>
  <c r="AX768" i="1"/>
  <c r="BR745" i="1"/>
  <c r="BP746" i="1"/>
  <c r="BR744" i="1"/>
  <c r="AA731" i="1"/>
  <c r="AE730" i="1"/>
  <c r="AV576" i="1"/>
  <c r="J577" i="1"/>
  <c r="H577" i="1"/>
  <c r="O576" i="1"/>
  <c r="AC576" i="1"/>
  <c r="BN770" i="1" l="1"/>
  <c r="BW771" i="1"/>
  <c r="AX770" i="1"/>
  <c r="BR746" i="1"/>
  <c r="BP747" i="1"/>
  <c r="BP748" i="1" s="1"/>
  <c r="AA732" i="1"/>
  <c r="AA733" i="1" s="1"/>
  <c r="AE731" i="1"/>
  <c r="AV577" i="1"/>
  <c r="J578" i="1"/>
  <c r="H578" i="1"/>
  <c r="O577" i="1"/>
  <c r="AC577" i="1"/>
  <c r="BW772" i="1" l="1"/>
  <c r="BW773" i="1" s="1"/>
  <c r="BN771" i="1"/>
  <c r="AX771" i="1"/>
  <c r="BR748" i="1"/>
  <c r="BP749" i="1"/>
  <c r="BR747" i="1"/>
  <c r="AE733" i="1"/>
  <c r="AA734" i="1"/>
  <c r="AA735" i="1" s="1"/>
  <c r="AE732" i="1"/>
  <c r="AV578" i="1"/>
  <c r="J579" i="1"/>
  <c r="H579" i="1"/>
  <c r="O578" i="1"/>
  <c r="AC578" i="1"/>
  <c r="BN773" i="1" l="1"/>
  <c r="AX773" i="1"/>
  <c r="BW774" i="1"/>
  <c r="BN772" i="1"/>
  <c r="AX772" i="1"/>
  <c r="BR749" i="1"/>
  <c r="BP750" i="1"/>
  <c r="AE735" i="1"/>
  <c r="AA736" i="1"/>
  <c r="AE734" i="1"/>
  <c r="J580" i="1"/>
  <c r="H580" i="1"/>
  <c r="AV579" i="1"/>
  <c r="O579" i="1"/>
  <c r="AC579" i="1"/>
  <c r="BN774" i="1" l="1"/>
  <c r="BW775" i="1"/>
  <c r="BW776" i="1" s="1"/>
  <c r="AX774" i="1"/>
  <c r="BR750" i="1"/>
  <c r="BP751" i="1"/>
  <c r="AA737" i="1"/>
  <c r="AE736" i="1"/>
  <c r="O580" i="1"/>
  <c r="H581" i="1"/>
  <c r="J581" i="1"/>
  <c r="AV580" i="1"/>
  <c r="AC580" i="1"/>
  <c r="BN776" i="1" l="1"/>
  <c r="BW777" i="1"/>
  <c r="AX776" i="1"/>
  <c r="BN775" i="1"/>
  <c r="AX775" i="1"/>
  <c r="BR751" i="1"/>
  <c r="BP752" i="1"/>
  <c r="AA738" i="1"/>
  <c r="AA739" i="1" s="1"/>
  <c r="AE737" i="1"/>
  <c r="J582" i="1"/>
  <c r="H582" i="1"/>
  <c r="AV581" i="1"/>
  <c r="O581" i="1"/>
  <c r="AC581" i="1"/>
  <c r="AA535" i="3"/>
  <c r="AA536" i="3"/>
  <c r="AA534" i="3"/>
  <c r="BN777" i="1" l="1"/>
  <c r="BW778" i="1"/>
  <c r="AX777" i="1"/>
  <c r="BR752" i="1"/>
  <c r="BP753" i="1"/>
  <c r="AE739" i="1"/>
  <c r="AA740" i="1"/>
  <c r="AE738" i="1"/>
  <c r="H583" i="1"/>
  <c r="J583" i="1"/>
  <c r="O582" i="1"/>
  <c r="AV582" i="1"/>
  <c r="AC582" i="1"/>
  <c r="BN778" i="1" l="1"/>
  <c r="BW779" i="1"/>
  <c r="BW780" i="1" s="1"/>
  <c r="AX778" i="1"/>
  <c r="BR753" i="1"/>
  <c r="BP754" i="1"/>
  <c r="AE740" i="1"/>
  <c r="AA741" i="1"/>
  <c r="O583" i="1"/>
  <c r="J584" i="1"/>
  <c r="H584" i="1"/>
  <c r="AV583" i="1"/>
  <c r="AC583" i="1"/>
  <c r="BN780" i="1" l="1"/>
  <c r="BW781" i="1"/>
  <c r="AX780" i="1"/>
  <c r="BN779" i="1"/>
  <c r="AX779" i="1"/>
  <c r="BR754" i="1"/>
  <c r="BP755" i="1"/>
  <c r="AE741" i="1"/>
  <c r="AA742" i="1"/>
  <c r="AA743" i="1" s="1"/>
  <c r="AV584" i="1"/>
  <c r="H585" i="1"/>
  <c r="J585" i="1"/>
  <c r="O584" i="1"/>
  <c r="AC584" i="1"/>
  <c r="BN781" i="1" l="1"/>
  <c r="BW782" i="1"/>
  <c r="BW783" i="1" s="1"/>
  <c r="AX781" i="1"/>
  <c r="BR755" i="1"/>
  <c r="BP756" i="1"/>
  <c r="BP757" i="1" s="1"/>
  <c r="AE743" i="1"/>
  <c r="AA744" i="1"/>
  <c r="AA745" i="1" s="1"/>
  <c r="AE742" i="1"/>
  <c r="O585" i="1"/>
  <c r="J586" i="1"/>
  <c r="H586" i="1"/>
  <c r="AV585" i="1"/>
  <c r="AC585" i="1"/>
  <c r="AA541" i="3"/>
  <c r="AA538" i="3"/>
  <c r="AA540" i="3"/>
  <c r="AA537" i="3"/>
  <c r="BN783" i="1" l="1"/>
  <c r="BW784" i="1"/>
  <c r="AX783" i="1"/>
  <c r="BN782" i="1"/>
  <c r="AX782" i="1"/>
  <c r="BR757" i="1"/>
  <c r="BP758" i="1"/>
  <c r="BP759" i="1" s="1"/>
  <c r="BR756" i="1"/>
  <c r="AE745" i="1"/>
  <c r="AA746" i="1"/>
  <c r="AE744" i="1"/>
  <c r="J587" i="1"/>
  <c r="H587" i="1"/>
  <c r="O586" i="1"/>
  <c r="AV586" i="1"/>
  <c r="AC586" i="1"/>
  <c r="BN784" i="1" l="1"/>
  <c r="BW785" i="1"/>
  <c r="AX784" i="1"/>
  <c r="BR759" i="1"/>
  <c r="BP760" i="1"/>
  <c r="BR758" i="1"/>
  <c r="AA747" i="1"/>
  <c r="AA748" i="1" s="1"/>
  <c r="AE746" i="1"/>
  <c r="O587" i="1"/>
  <c r="J588" i="1"/>
  <c r="H588" i="1"/>
  <c r="AV587" i="1"/>
  <c r="AC587" i="1"/>
  <c r="BN785" i="1" l="1"/>
  <c r="BW786" i="1"/>
  <c r="AX785" i="1"/>
  <c r="BR760" i="1"/>
  <c r="BP761" i="1"/>
  <c r="BP762" i="1" s="1"/>
  <c r="AA749" i="1"/>
  <c r="AE748" i="1"/>
  <c r="AE747" i="1"/>
  <c r="AV588" i="1"/>
  <c r="J589" i="1"/>
  <c r="H589" i="1"/>
  <c r="O588" i="1"/>
  <c r="AC588" i="1"/>
  <c r="BN786" i="1" l="1"/>
  <c r="BW787" i="1"/>
  <c r="AX786" i="1"/>
  <c r="BR762" i="1"/>
  <c r="BP763" i="1"/>
  <c r="BR761" i="1"/>
  <c r="AE749" i="1"/>
  <c r="AA750" i="1"/>
  <c r="J590" i="1"/>
  <c r="H590" i="1"/>
  <c r="O589" i="1"/>
  <c r="AV589" i="1"/>
  <c r="AC589" i="1"/>
  <c r="AA543" i="3"/>
  <c r="AA544" i="3"/>
  <c r="AA542" i="3"/>
  <c r="AX787" i="1" l="1"/>
  <c r="BW788" i="1"/>
  <c r="BW789" i="1" s="1"/>
  <c r="BN787" i="1"/>
  <c r="BR763" i="1"/>
  <c r="BP764" i="1"/>
  <c r="AE750" i="1"/>
  <c r="AA751" i="1"/>
  <c r="AV590" i="1"/>
  <c r="J591" i="1"/>
  <c r="H591" i="1"/>
  <c r="O590" i="1"/>
  <c r="AC590" i="1"/>
  <c r="BN789" i="1" l="1"/>
  <c r="BW790" i="1"/>
  <c r="AX789" i="1"/>
  <c r="AX788" i="1"/>
  <c r="BN788" i="1"/>
  <c r="BR764" i="1"/>
  <c r="BP765" i="1"/>
  <c r="AE751" i="1"/>
  <c r="AA752" i="1"/>
  <c r="AA753" i="1" s="1"/>
  <c r="O591" i="1"/>
  <c r="H592" i="1"/>
  <c r="J592" i="1"/>
  <c r="AV591" i="1"/>
  <c r="AC591" i="1"/>
  <c r="BN790" i="1" l="1"/>
  <c r="BW791" i="1"/>
  <c r="AX790" i="1"/>
  <c r="BR765" i="1"/>
  <c r="BP766" i="1"/>
  <c r="BP767" i="1" s="1"/>
  <c r="AE753" i="1"/>
  <c r="AA754" i="1"/>
  <c r="AE752" i="1"/>
  <c r="O592" i="1"/>
  <c r="J593" i="1"/>
  <c r="H593" i="1"/>
  <c r="AV592" i="1"/>
  <c r="AC592" i="1"/>
  <c r="AA548" i="3"/>
  <c r="AA546" i="3"/>
  <c r="AA547" i="3"/>
  <c r="AA545" i="3"/>
  <c r="BN791" i="1" l="1"/>
  <c r="BW792" i="1"/>
  <c r="BW793" i="1" s="1"/>
  <c r="AX791" i="1"/>
  <c r="BR767" i="1"/>
  <c r="BP768" i="1"/>
  <c r="BP769" i="1" s="1"/>
  <c r="BR766" i="1"/>
  <c r="AA755" i="1"/>
  <c r="AE754" i="1"/>
  <c r="J594" i="1"/>
  <c r="H594" i="1"/>
  <c r="O593" i="1"/>
  <c r="AV593" i="1"/>
  <c r="AC593" i="1"/>
  <c r="BN793" i="1" l="1"/>
  <c r="AX793" i="1"/>
  <c r="BW794" i="1"/>
  <c r="BN792" i="1"/>
  <c r="AX792" i="1"/>
  <c r="BR769" i="1"/>
  <c r="BP770" i="1"/>
  <c r="BR768" i="1"/>
  <c r="AE755" i="1"/>
  <c r="AA756" i="1"/>
  <c r="AA757" i="1" s="1"/>
  <c r="O594" i="1"/>
  <c r="J595" i="1"/>
  <c r="H595" i="1"/>
  <c r="AV594" i="1"/>
  <c r="AC594" i="1"/>
  <c r="BN794" i="1" l="1"/>
  <c r="BW795" i="1"/>
  <c r="AX794" i="1"/>
  <c r="BR770" i="1"/>
  <c r="BP771" i="1"/>
  <c r="AE757" i="1"/>
  <c r="AA758" i="1"/>
  <c r="AA759" i="1" s="1"/>
  <c r="AE756" i="1"/>
  <c r="O595" i="1"/>
  <c r="J596" i="1"/>
  <c r="H596" i="1"/>
  <c r="AV595" i="1"/>
  <c r="AC595" i="1"/>
  <c r="BN795" i="1" l="1"/>
  <c r="BW796" i="1"/>
  <c r="BW797" i="1" s="1"/>
  <c r="AX795" i="1"/>
  <c r="BP772" i="1"/>
  <c r="BP773" i="1" s="1"/>
  <c r="BR771" i="1"/>
  <c r="AE759" i="1"/>
  <c r="AA760" i="1"/>
  <c r="AE758" i="1"/>
  <c r="AV596" i="1"/>
  <c r="J597" i="1"/>
  <c r="H597" i="1"/>
  <c r="O596" i="1"/>
  <c r="AC596" i="1"/>
  <c r="AA553" i="3"/>
  <c r="AA554" i="3"/>
  <c r="AA551" i="3"/>
  <c r="AA552" i="3"/>
  <c r="AA550" i="3"/>
  <c r="AA549" i="3"/>
  <c r="BW798" i="1" l="1"/>
  <c r="AX797" i="1"/>
  <c r="BN797" i="1"/>
  <c r="BN796" i="1"/>
  <c r="AX796" i="1"/>
  <c r="BR773" i="1"/>
  <c r="BP774" i="1"/>
  <c r="BR772" i="1"/>
  <c r="AE760" i="1"/>
  <c r="AA761" i="1"/>
  <c r="AA762" i="1" s="1"/>
  <c r="O597" i="1"/>
  <c r="J598" i="1"/>
  <c r="AV597" i="1"/>
  <c r="H598" i="1"/>
  <c r="AC597" i="1"/>
  <c r="BN798" i="1" l="1"/>
  <c r="BW799" i="1"/>
  <c r="BW800" i="1" s="1"/>
  <c r="AX798" i="1"/>
  <c r="BR774" i="1"/>
  <c r="BP775" i="1"/>
  <c r="BP776" i="1" s="1"/>
  <c r="AA763" i="1"/>
  <c r="AE762" i="1"/>
  <c r="AE761" i="1"/>
  <c r="AV598" i="1"/>
  <c r="J599" i="1"/>
  <c r="H599" i="1"/>
  <c r="O598" i="1"/>
  <c r="AC598" i="1"/>
  <c r="BN800" i="1" l="1"/>
  <c r="BW801" i="1"/>
  <c r="AX800" i="1"/>
  <c r="BN799" i="1"/>
  <c r="AX799" i="1"/>
  <c r="BR776" i="1"/>
  <c r="BP777" i="1"/>
  <c r="BR775" i="1"/>
  <c r="AA764" i="1"/>
  <c r="AE763" i="1"/>
  <c r="AV599" i="1"/>
  <c r="H600" i="1"/>
  <c r="J600" i="1"/>
  <c r="O599" i="1"/>
  <c r="AC599" i="1"/>
  <c r="BN801" i="1" l="1"/>
  <c r="AX801" i="1"/>
  <c r="BW802" i="1"/>
  <c r="BR777" i="1"/>
  <c r="BP778" i="1"/>
  <c r="AE764" i="1"/>
  <c r="AA765" i="1"/>
  <c r="H601" i="1"/>
  <c r="J601" i="1"/>
  <c r="O600" i="1"/>
  <c r="AV600" i="1"/>
  <c r="AC600" i="1"/>
  <c r="BN802" i="1" l="1"/>
  <c r="AX802" i="1"/>
  <c r="BW803" i="1"/>
  <c r="BW804" i="1" s="1"/>
  <c r="BR778" i="1"/>
  <c r="BP779" i="1"/>
  <c r="BP780" i="1" s="1"/>
  <c r="AA766" i="1"/>
  <c r="AA767" i="1" s="1"/>
  <c r="AE765" i="1"/>
  <c r="O601" i="1"/>
  <c r="J602" i="1"/>
  <c r="H602" i="1"/>
  <c r="AV601" i="1"/>
  <c r="AC601" i="1"/>
  <c r="BN804" i="1" l="1"/>
  <c r="BW805" i="1"/>
  <c r="AX804" i="1"/>
  <c r="BN803" i="1"/>
  <c r="AX803" i="1"/>
  <c r="BR780" i="1"/>
  <c r="BP781" i="1"/>
  <c r="BR779" i="1"/>
  <c r="AE767" i="1"/>
  <c r="AA768" i="1"/>
  <c r="AA769" i="1" s="1"/>
  <c r="AE766" i="1"/>
  <c r="J603" i="1"/>
  <c r="H603" i="1"/>
  <c r="O602" i="1"/>
  <c r="AV602" i="1"/>
  <c r="AC602" i="1"/>
  <c r="BN805" i="1" l="1"/>
  <c r="BW806" i="1"/>
  <c r="AX805" i="1"/>
  <c r="BR781" i="1"/>
  <c r="BP782" i="1"/>
  <c r="BP783" i="1" s="1"/>
  <c r="AA770" i="1"/>
  <c r="AE769" i="1"/>
  <c r="AE768" i="1"/>
  <c r="J604" i="1"/>
  <c r="H604" i="1"/>
  <c r="AV603" i="1"/>
  <c r="O603" i="1"/>
  <c r="AC603" i="1"/>
  <c r="AA557" i="3"/>
  <c r="AA558" i="3"/>
  <c r="BN806" i="1" l="1"/>
  <c r="AX806" i="1"/>
  <c r="BW807" i="1"/>
  <c r="BR783" i="1"/>
  <c r="BP784" i="1"/>
  <c r="BR782" i="1"/>
  <c r="AE770" i="1"/>
  <c r="AA771" i="1"/>
  <c r="AV604" i="1"/>
  <c r="J605" i="1"/>
  <c r="H605" i="1"/>
  <c r="O604" i="1"/>
  <c r="AC604" i="1"/>
  <c r="AA555" i="3"/>
  <c r="AA556" i="3"/>
  <c r="BN807" i="1" l="1"/>
  <c r="AX807" i="1"/>
  <c r="BW808" i="1"/>
  <c r="BW809" i="1" s="1"/>
  <c r="BR784" i="1"/>
  <c r="BP785" i="1"/>
  <c r="AA772" i="1"/>
  <c r="AA773" i="1" s="1"/>
  <c r="AE771" i="1"/>
  <c r="AV605" i="1"/>
  <c r="H606" i="1"/>
  <c r="J606" i="1"/>
  <c r="O605" i="1"/>
  <c r="AC605" i="1"/>
  <c r="AA561" i="3"/>
  <c r="AA559" i="3"/>
  <c r="BN809" i="1" l="1"/>
  <c r="BW810" i="1"/>
  <c r="AX809" i="1"/>
  <c r="BN808" i="1"/>
  <c r="AX808" i="1"/>
  <c r="BR785" i="1"/>
  <c r="BP786" i="1"/>
  <c r="AE773" i="1"/>
  <c r="AA774" i="1"/>
  <c r="AE772" i="1"/>
  <c r="AC606" i="1"/>
  <c r="J607" i="1"/>
  <c r="H607" i="1"/>
  <c r="O606" i="1"/>
  <c r="AV606" i="1"/>
  <c r="AA560" i="3"/>
  <c r="BN810" i="1" l="1"/>
  <c r="BW811" i="1"/>
  <c r="AX810" i="1"/>
  <c r="BR786" i="1"/>
  <c r="BP787" i="1"/>
  <c r="AA775" i="1"/>
  <c r="AA776" i="1" s="1"/>
  <c r="AE774" i="1"/>
  <c r="J608" i="1"/>
  <c r="H608" i="1"/>
  <c r="O607" i="1"/>
  <c r="AV607" i="1"/>
  <c r="AC607" i="1"/>
  <c r="BN811" i="1" l="1"/>
  <c r="BW812" i="1"/>
  <c r="AX811" i="1"/>
  <c r="BR787" i="1"/>
  <c r="BP788" i="1"/>
  <c r="BP789" i="1" s="1"/>
  <c r="AE776" i="1"/>
  <c r="AA777" i="1"/>
  <c r="AE775" i="1"/>
  <c r="O608" i="1"/>
  <c r="AV608" i="1"/>
  <c r="J609" i="1"/>
  <c r="H609" i="1"/>
  <c r="AC608" i="1"/>
  <c r="BN812" i="1" l="1"/>
  <c r="BW813" i="1"/>
  <c r="BW814" i="1" s="1"/>
  <c r="AX812" i="1"/>
  <c r="BR789" i="1"/>
  <c r="BP790" i="1"/>
  <c r="BR788" i="1"/>
  <c r="AE777" i="1"/>
  <c r="AA778" i="1"/>
  <c r="O609" i="1"/>
  <c r="H610" i="1"/>
  <c r="J610" i="1"/>
  <c r="AV609" i="1"/>
  <c r="AC609" i="1"/>
  <c r="AX814" i="1" l="1"/>
  <c r="BN814" i="1"/>
  <c r="BW815" i="1"/>
  <c r="BN813" i="1"/>
  <c r="AX813" i="1"/>
  <c r="BR790" i="1"/>
  <c r="BP791" i="1"/>
  <c r="AE778" i="1"/>
  <c r="AA779" i="1"/>
  <c r="AA780" i="1" s="1"/>
  <c r="O610" i="1"/>
  <c r="AV610" i="1"/>
  <c r="J611" i="1"/>
  <c r="H611" i="1"/>
  <c r="AC610" i="1"/>
  <c r="AA565" i="3"/>
  <c r="AA563" i="3"/>
  <c r="AA564" i="3"/>
  <c r="AA562" i="3"/>
  <c r="BN815" i="1" l="1"/>
  <c r="AX815" i="1"/>
  <c r="BW816" i="1"/>
  <c r="BR791" i="1"/>
  <c r="BP792" i="1"/>
  <c r="BP793" i="1" s="1"/>
  <c r="AE780" i="1"/>
  <c r="AA781" i="1"/>
  <c r="AE779" i="1"/>
  <c r="J612" i="1"/>
  <c r="H612" i="1"/>
  <c r="O611" i="1"/>
  <c r="AV611" i="1"/>
  <c r="AC611" i="1"/>
  <c r="BN816" i="1" l="1"/>
  <c r="BW817" i="1"/>
  <c r="BW818" i="1" s="1"/>
  <c r="AX816" i="1"/>
  <c r="BR793" i="1"/>
  <c r="BP794" i="1"/>
  <c r="BR792" i="1"/>
  <c r="AE781" i="1"/>
  <c r="AA782" i="1"/>
  <c r="AA783" i="1" s="1"/>
  <c r="O612" i="1"/>
  <c r="J613" i="1"/>
  <c r="H613" i="1"/>
  <c r="AV612" i="1"/>
  <c r="AC612" i="1"/>
  <c r="BN818" i="1" l="1"/>
  <c r="BW819" i="1"/>
  <c r="AX818" i="1"/>
  <c r="BN817" i="1"/>
  <c r="AX817" i="1"/>
  <c r="BR794" i="1"/>
  <c r="BP795" i="1"/>
  <c r="AA784" i="1"/>
  <c r="AE783" i="1"/>
  <c r="AE782" i="1"/>
  <c r="O613" i="1"/>
  <c r="J614" i="1"/>
  <c r="H614" i="1"/>
  <c r="AV613" i="1"/>
  <c r="AC613" i="1"/>
  <c r="BN819" i="1" l="1"/>
  <c r="BW820" i="1"/>
  <c r="AX819" i="1"/>
  <c r="BP796" i="1"/>
  <c r="BP797" i="1" s="1"/>
  <c r="BR795" i="1"/>
  <c r="AE784" i="1"/>
  <c r="AA785" i="1"/>
  <c r="J615" i="1"/>
  <c r="H615" i="1"/>
  <c r="O614" i="1"/>
  <c r="AV614" i="1"/>
  <c r="AC614" i="1"/>
  <c r="AA567" i="3"/>
  <c r="AA568" i="3"/>
  <c r="AA566" i="3"/>
  <c r="BN820" i="1" l="1"/>
  <c r="BW821" i="1"/>
  <c r="BW822" i="1" s="1"/>
  <c r="AX820" i="1"/>
  <c r="BP798" i="1"/>
  <c r="BR797" i="1"/>
  <c r="BR796" i="1"/>
  <c r="AA786" i="1"/>
  <c r="AE785" i="1"/>
  <c r="J616" i="1"/>
  <c r="H616" i="1"/>
  <c r="O615" i="1"/>
  <c r="AV615" i="1"/>
  <c r="AC615" i="1"/>
  <c r="BN822" i="1" l="1"/>
  <c r="BW823" i="1"/>
  <c r="AX822" i="1"/>
  <c r="AX821" i="1"/>
  <c r="BN821" i="1"/>
  <c r="BR798" i="1"/>
  <c r="BP799" i="1"/>
  <c r="AE786" i="1"/>
  <c r="AA787" i="1"/>
  <c r="O616" i="1"/>
  <c r="J617" i="1"/>
  <c r="H617" i="1"/>
  <c r="AV616" i="1"/>
  <c r="AC616" i="1"/>
  <c r="BN823" i="1" l="1"/>
  <c r="BW824" i="1"/>
  <c r="BW825" i="1" s="1"/>
  <c r="AX823" i="1"/>
  <c r="BR799" i="1"/>
  <c r="BP800" i="1"/>
  <c r="AE787" i="1"/>
  <c r="AA788" i="1"/>
  <c r="AA789" i="1" s="1"/>
  <c r="J618" i="1"/>
  <c r="H618" i="1"/>
  <c r="O617" i="1"/>
  <c r="AV617" i="1"/>
  <c r="AC617" i="1"/>
  <c r="AA572" i="3"/>
  <c r="AA570" i="3"/>
  <c r="AA571" i="3"/>
  <c r="AA569" i="3"/>
  <c r="BN825" i="1" l="1"/>
  <c r="AX825" i="1"/>
  <c r="BW826" i="1"/>
  <c r="BN824" i="1"/>
  <c r="AX824" i="1"/>
  <c r="BR800" i="1"/>
  <c r="BP801" i="1"/>
  <c r="AE789" i="1"/>
  <c r="AA790" i="1"/>
  <c r="AE788" i="1"/>
  <c r="O618" i="1"/>
  <c r="J619" i="1"/>
  <c r="H619" i="1"/>
  <c r="AV618" i="1"/>
  <c r="AC618" i="1"/>
  <c r="BN826" i="1" l="1"/>
  <c r="BW827" i="1"/>
  <c r="AX826" i="1"/>
  <c r="BR801" i="1"/>
  <c r="BP802" i="1"/>
  <c r="AA791" i="1"/>
  <c r="AE790" i="1"/>
  <c r="AV619" i="1"/>
  <c r="J620" i="1"/>
  <c r="H620" i="1"/>
  <c r="O619" i="1"/>
  <c r="AC619" i="1"/>
  <c r="BN827" i="1" l="1"/>
  <c r="AX827" i="1"/>
  <c r="BW828" i="1"/>
  <c r="BR802" i="1"/>
  <c r="BP803" i="1"/>
  <c r="BP804" i="1" s="1"/>
  <c r="AE791" i="1"/>
  <c r="AA792" i="1"/>
  <c r="AA793" i="1" s="1"/>
  <c r="O620" i="1"/>
  <c r="J621" i="1"/>
  <c r="H621" i="1"/>
  <c r="AV620" i="1"/>
  <c r="AC620" i="1"/>
  <c r="AA574" i="3"/>
  <c r="AA575" i="3"/>
  <c r="AA573" i="3"/>
  <c r="BN828" i="1" l="1"/>
  <c r="BW829" i="1"/>
  <c r="AX828" i="1"/>
  <c r="BR804" i="1"/>
  <c r="BP805" i="1"/>
  <c r="BR803" i="1"/>
  <c r="AE793" i="1"/>
  <c r="AA794" i="1"/>
  <c r="AE792" i="1"/>
  <c r="J622" i="1"/>
  <c r="H622" i="1"/>
  <c r="O621" i="1"/>
  <c r="AV621" i="1"/>
  <c r="AC621" i="1"/>
  <c r="BN829" i="1" l="1"/>
  <c r="BW830" i="1"/>
  <c r="AX829" i="1"/>
  <c r="BR805" i="1"/>
  <c r="BP806" i="1"/>
  <c r="AE794" i="1"/>
  <c r="AA795" i="1"/>
  <c r="O622" i="1"/>
  <c r="H623" i="1"/>
  <c r="J623" i="1"/>
  <c r="AV622" i="1"/>
  <c r="AC622" i="1"/>
  <c r="BN830" i="1" l="1"/>
  <c r="BW831" i="1"/>
  <c r="BW832" i="1" s="1"/>
  <c r="AX830" i="1"/>
  <c r="BR806" i="1"/>
  <c r="BP807" i="1"/>
  <c r="AE795" i="1"/>
  <c r="AA796" i="1"/>
  <c r="AA797" i="1" s="1"/>
  <c r="O623" i="1"/>
  <c r="H624" i="1"/>
  <c r="J624" i="1"/>
  <c r="AV623" i="1"/>
  <c r="AC623" i="1"/>
  <c r="BN832" i="1" l="1"/>
  <c r="BW833" i="1"/>
  <c r="AX832" i="1"/>
  <c r="BW856" i="1"/>
  <c r="BN831" i="1"/>
  <c r="AX831" i="1"/>
  <c r="BR807" i="1"/>
  <c r="BP808" i="1"/>
  <c r="BP809" i="1" s="1"/>
  <c r="AA798" i="1"/>
  <c r="AE797" i="1"/>
  <c r="AE796" i="1"/>
  <c r="AV624" i="1"/>
  <c r="H625" i="1"/>
  <c r="J625" i="1"/>
  <c r="O624" i="1"/>
  <c r="AC624" i="1"/>
  <c r="AA583" i="3"/>
  <c r="AA584" i="3"/>
  <c r="AA581" i="3"/>
  <c r="AA582" i="3"/>
  <c r="AA580" i="3"/>
  <c r="AA578" i="3"/>
  <c r="AA579" i="3"/>
  <c r="BN833" i="1" l="1"/>
  <c r="AX833" i="1"/>
  <c r="BW834" i="1"/>
  <c r="BR809" i="1"/>
  <c r="BP810" i="1"/>
  <c r="BR808" i="1"/>
  <c r="AE798" i="1"/>
  <c r="AA799" i="1"/>
  <c r="AA800" i="1" s="1"/>
  <c r="J626" i="1"/>
  <c r="H626" i="1"/>
  <c r="O625" i="1"/>
  <c r="AV625" i="1"/>
  <c r="AC625" i="1"/>
  <c r="AA577" i="3"/>
  <c r="AA576" i="3"/>
  <c r="BN834" i="1" l="1"/>
  <c r="BW835" i="1"/>
  <c r="AX834" i="1"/>
  <c r="BR810" i="1"/>
  <c r="BP811" i="1"/>
  <c r="AE800" i="1"/>
  <c r="AA801" i="1"/>
  <c r="AE799" i="1"/>
  <c r="AC626" i="1"/>
  <c r="J627" i="1"/>
  <c r="AV626" i="1"/>
  <c r="H627" i="1"/>
  <c r="O626" i="1"/>
  <c r="BN835" i="1" l="1"/>
  <c r="BW836" i="1"/>
  <c r="AX835" i="1"/>
  <c r="BR811" i="1"/>
  <c r="BP812" i="1"/>
  <c r="AE801" i="1"/>
  <c r="AA802" i="1"/>
  <c r="O627" i="1"/>
  <c r="H628" i="1"/>
  <c r="J628" i="1"/>
  <c r="AV627" i="1"/>
  <c r="AC627" i="1"/>
  <c r="BN836" i="1" l="1"/>
  <c r="BW837" i="1"/>
  <c r="AX836" i="1"/>
  <c r="BR812" i="1"/>
  <c r="BP813" i="1"/>
  <c r="BP814" i="1" s="1"/>
  <c r="AE802" i="1"/>
  <c r="AA803" i="1"/>
  <c r="AA804" i="1" s="1"/>
  <c r="AC628" i="1"/>
  <c r="H629" i="1"/>
  <c r="J629" i="1"/>
  <c r="O628" i="1"/>
  <c r="AV628" i="1"/>
  <c r="BN837" i="1" l="1"/>
  <c r="BW838" i="1"/>
  <c r="BW839" i="1" s="1"/>
  <c r="AX837" i="1"/>
  <c r="BR814" i="1"/>
  <c r="BP815" i="1"/>
  <c r="BR813" i="1"/>
  <c r="AE804" i="1"/>
  <c r="AA805" i="1"/>
  <c r="AE803" i="1"/>
  <c r="J630" i="1"/>
  <c r="H630" i="1"/>
  <c r="AV629" i="1"/>
  <c r="O629" i="1"/>
  <c r="AC629" i="1"/>
  <c r="BW840" i="1" l="1"/>
  <c r="AX839" i="1"/>
  <c r="BN839" i="1"/>
  <c r="BN838" i="1"/>
  <c r="AX838" i="1"/>
  <c r="BR815" i="1"/>
  <c r="BP816" i="1"/>
  <c r="AA806" i="1"/>
  <c r="AE805" i="1"/>
  <c r="H631" i="1"/>
  <c r="J631" i="1"/>
  <c r="AV630" i="1"/>
  <c r="O630" i="1"/>
  <c r="AC630" i="1"/>
  <c r="BN840" i="1" l="1"/>
  <c r="BW841" i="1"/>
  <c r="AX840" i="1"/>
  <c r="BR816" i="1"/>
  <c r="BP817" i="1"/>
  <c r="BP818" i="1" s="1"/>
  <c r="AE806" i="1"/>
  <c r="AA807" i="1"/>
  <c r="O631" i="1"/>
  <c r="J632" i="1"/>
  <c r="H632" i="1"/>
  <c r="AV631" i="1"/>
  <c r="AC631" i="1"/>
  <c r="BW842" i="1" l="1"/>
  <c r="AX841" i="1"/>
  <c r="BN841" i="1"/>
  <c r="BR818" i="1"/>
  <c r="BP819" i="1"/>
  <c r="BR817" i="1"/>
  <c r="AA808" i="1"/>
  <c r="AA809" i="1" s="1"/>
  <c r="AE807" i="1"/>
  <c r="AC632" i="1"/>
  <c r="J633" i="1"/>
  <c r="H633" i="1"/>
  <c r="AV632" i="1"/>
  <c r="O632" i="1"/>
  <c r="AA589" i="3"/>
  <c r="AA586" i="3"/>
  <c r="AA587" i="3"/>
  <c r="AA585" i="3"/>
  <c r="BN842" i="1" l="1"/>
  <c r="BW843" i="1"/>
  <c r="BW844" i="1" s="1"/>
  <c r="AX842" i="1"/>
  <c r="BR819" i="1"/>
  <c r="BP820" i="1"/>
  <c r="AA810" i="1"/>
  <c r="AE809" i="1"/>
  <c r="AE808" i="1"/>
  <c r="O633" i="1"/>
  <c r="J634" i="1"/>
  <c r="H634" i="1"/>
  <c r="AV633" i="1"/>
  <c r="AC633" i="1"/>
  <c r="AA588" i="3"/>
  <c r="BN844" i="1" l="1"/>
  <c r="BW845" i="1"/>
  <c r="AX844" i="1"/>
  <c r="BN843" i="1"/>
  <c r="AX843" i="1"/>
  <c r="BR820" i="1"/>
  <c r="BP821" i="1"/>
  <c r="BP822" i="1" s="1"/>
  <c r="AE810" i="1"/>
  <c r="AA811" i="1"/>
  <c r="H635" i="1"/>
  <c r="J635" i="1"/>
  <c r="O634" i="1"/>
  <c r="AV634" i="1"/>
  <c r="AC634" i="1"/>
  <c r="BW846" i="1" l="1"/>
  <c r="BW847" i="1" s="1"/>
  <c r="AX845" i="1"/>
  <c r="BN845" i="1"/>
  <c r="BR822" i="1"/>
  <c r="BP823" i="1"/>
  <c r="BR821" i="1"/>
  <c r="AE811" i="1"/>
  <c r="AA812" i="1"/>
  <c r="AV635" i="1"/>
  <c r="H636" i="1"/>
  <c r="J636" i="1"/>
  <c r="O635" i="1"/>
  <c r="AC635" i="1"/>
  <c r="BN847" i="1" l="1"/>
  <c r="BW848" i="1"/>
  <c r="AX847" i="1"/>
  <c r="BN846" i="1"/>
  <c r="AX846" i="1"/>
  <c r="BR823" i="1"/>
  <c r="BP824" i="1"/>
  <c r="BP825" i="1" s="1"/>
  <c r="AE812" i="1"/>
  <c r="AA813" i="1"/>
  <c r="AA814" i="1" s="1"/>
  <c r="J637" i="1"/>
  <c r="H637" i="1"/>
  <c r="O636" i="1"/>
  <c r="AV636" i="1"/>
  <c r="AC636" i="1"/>
  <c r="BN848" i="1" l="1"/>
  <c r="BW849" i="1"/>
  <c r="AX848" i="1"/>
  <c r="BR825" i="1"/>
  <c r="BP826" i="1"/>
  <c r="BR824" i="1"/>
  <c r="AA815" i="1"/>
  <c r="AE814" i="1"/>
  <c r="AE813" i="1"/>
  <c r="J638" i="1"/>
  <c r="O637" i="1"/>
  <c r="AV637" i="1"/>
  <c r="H638" i="1"/>
  <c r="AC637" i="1"/>
  <c r="AA591" i="3"/>
  <c r="AA590" i="3"/>
  <c r="BN849" i="1" l="1"/>
  <c r="AX849" i="1"/>
  <c r="BP827" i="1"/>
  <c r="BR826" i="1"/>
  <c r="AE815" i="1"/>
  <c r="AA816" i="1"/>
  <c r="AV638" i="1"/>
  <c r="J639" i="1"/>
  <c r="H639" i="1"/>
  <c r="O638" i="1"/>
  <c r="AC638" i="1"/>
  <c r="BR827" i="1" l="1"/>
  <c r="BP828" i="1"/>
  <c r="AE816" i="1"/>
  <c r="AA817" i="1"/>
  <c r="AA818" i="1" s="1"/>
  <c r="O639" i="1"/>
  <c r="AV639" i="1"/>
  <c r="H640" i="1"/>
  <c r="J640" i="1"/>
  <c r="AC639" i="1"/>
  <c r="AA595" i="3"/>
  <c r="AA596" i="3"/>
  <c r="AA593" i="3"/>
  <c r="AA594" i="3"/>
  <c r="AA592" i="3"/>
  <c r="BR828" i="1" l="1"/>
  <c r="BP829" i="1"/>
  <c r="AE818" i="1"/>
  <c r="AA819" i="1"/>
  <c r="AE817" i="1"/>
  <c r="H641" i="1"/>
  <c r="J641" i="1"/>
  <c r="O640" i="1"/>
  <c r="AV640" i="1"/>
  <c r="AC640" i="1"/>
  <c r="BR829" i="1" l="1"/>
  <c r="BP830" i="1"/>
  <c r="AE819" i="1"/>
  <c r="AA820" i="1"/>
  <c r="J642" i="1"/>
  <c r="H642" i="1"/>
  <c r="O641" i="1"/>
  <c r="AV641" i="1"/>
  <c r="AC641" i="1"/>
  <c r="BR830" i="1" l="1"/>
  <c r="BP831" i="1"/>
  <c r="BP832" i="1" s="1"/>
  <c r="AE820" i="1"/>
  <c r="AA821" i="1"/>
  <c r="AA822" i="1" s="1"/>
  <c r="J643" i="1"/>
  <c r="AV642" i="1"/>
  <c r="H643" i="1"/>
  <c r="O642" i="1"/>
  <c r="AC642" i="1"/>
  <c r="BR832" i="1" l="1"/>
  <c r="BP833" i="1"/>
  <c r="BR831" i="1"/>
  <c r="AE822" i="1"/>
  <c r="AA823" i="1"/>
  <c r="AE821" i="1"/>
  <c r="J644" i="1"/>
  <c r="H644" i="1"/>
  <c r="AV643" i="1"/>
  <c r="O643" i="1"/>
  <c r="AC643" i="1"/>
  <c r="BR833" i="1" l="1"/>
  <c r="BP834" i="1"/>
  <c r="AA824" i="1"/>
  <c r="AA825" i="1" s="1"/>
  <c r="AE823" i="1"/>
  <c r="AV644" i="1"/>
  <c r="J645" i="1"/>
  <c r="H645" i="1"/>
  <c r="O644" i="1"/>
  <c r="AC644" i="1"/>
  <c r="AA603" i="3"/>
  <c r="AA604" i="3"/>
  <c r="AA601" i="3"/>
  <c r="AA602" i="3"/>
  <c r="AA598" i="3"/>
  <c r="AA599" i="3"/>
  <c r="BR834" i="1" l="1"/>
  <c r="BP835" i="1"/>
  <c r="AE825" i="1"/>
  <c r="AA826" i="1"/>
  <c r="AE824" i="1"/>
  <c r="J646" i="1"/>
  <c r="H646" i="1"/>
  <c r="O645" i="1"/>
  <c r="AV645" i="1"/>
  <c r="AC645" i="1"/>
  <c r="BR835" i="1" l="1"/>
  <c r="BP836" i="1"/>
  <c r="AE826" i="1"/>
  <c r="AA827" i="1"/>
  <c r="O646" i="1"/>
  <c r="AV646" i="1"/>
  <c r="J647" i="1"/>
  <c r="H647" i="1"/>
  <c r="AC646" i="1"/>
  <c r="BR836" i="1" l="1"/>
  <c r="BP837" i="1"/>
  <c r="AE827" i="1"/>
  <c r="AA828" i="1"/>
  <c r="H648" i="1"/>
  <c r="J648" i="1"/>
  <c r="AV647" i="1"/>
  <c r="O647" i="1"/>
  <c r="AC647" i="1"/>
  <c r="BR837" i="1" l="1"/>
  <c r="BP838" i="1"/>
  <c r="BP839" i="1" s="1"/>
  <c r="AE828" i="1"/>
  <c r="AA829" i="1"/>
  <c r="AV648" i="1"/>
  <c r="J649" i="1"/>
  <c r="H649" i="1"/>
  <c r="O648" i="1"/>
  <c r="AC648" i="1"/>
  <c r="BR839" i="1" l="1"/>
  <c r="BP840" i="1"/>
  <c r="BR838" i="1"/>
  <c r="AE829" i="1"/>
  <c r="AA830" i="1"/>
  <c r="J650" i="1"/>
  <c r="H650" i="1"/>
  <c r="O649" i="1"/>
  <c r="AV649" i="1"/>
  <c r="AC649" i="1"/>
  <c r="BR840" i="1" l="1"/>
  <c r="BP841" i="1"/>
  <c r="AE830" i="1"/>
  <c r="AA831" i="1"/>
  <c r="AA832" i="1" s="1"/>
  <c r="O650" i="1"/>
  <c r="H651" i="1"/>
  <c r="J651" i="1"/>
  <c r="AV650" i="1"/>
  <c r="AC650" i="1"/>
  <c r="BR841" i="1" l="1"/>
  <c r="BP842" i="1"/>
  <c r="AE832" i="1"/>
  <c r="AA833" i="1"/>
  <c r="AE831" i="1"/>
  <c r="O651" i="1"/>
  <c r="H652" i="1"/>
  <c r="J652" i="1"/>
  <c r="AV651" i="1"/>
  <c r="AC651" i="1"/>
  <c r="BR842" i="1" l="1"/>
  <c r="BP843" i="1"/>
  <c r="BP844" i="1" s="1"/>
  <c r="AA834" i="1"/>
  <c r="AE833" i="1"/>
  <c r="J653" i="1"/>
  <c r="H653" i="1"/>
  <c r="O652" i="1"/>
  <c r="AV652" i="1"/>
  <c r="AC652" i="1"/>
  <c r="AA606" i="3"/>
  <c r="AA605" i="3"/>
  <c r="BR844" i="1" l="1"/>
  <c r="BP845" i="1"/>
  <c r="BR843" i="1"/>
  <c r="AE834" i="1"/>
  <c r="AA835" i="1"/>
  <c r="O653" i="1"/>
  <c r="H654" i="1"/>
  <c r="J654" i="1"/>
  <c r="AV653" i="1"/>
  <c r="AC653" i="1"/>
  <c r="AA607" i="3"/>
  <c r="BR845" i="1" l="1"/>
  <c r="BP846" i="1"/>
  <c r="BP847" i="1" s="1"/>
  <c r="AE835" i="1"/>
  <c r="AA836" i="1"/>
  <c r="O654" i="1"/>
  <c r="J655" i="1"/>
  <c r="H655" i="1"/>
  <c r="AV654" i="1"/>
  <c r="AC654" i="1"/>
  <c r="BR847" i="1" l="1"/>
  <c r="BP848" i="1"/>
  <c r="BR846" i="1"/>
  <c r="AE836" i="1"/>
  <c r="AA837" i="1"/>
  <c r="AV655" i="1"/>
  <c r="J656" i="1"/>
  <c r="H656" i="1"/>
  <c r="O655" i="1"/>
  <c r="AC655" i="1"/>
  <c r="AA611" i="3"/>
  <c r="AA609" i="3"/>
  <c r="AA610" i="3"/>
  <c r="AA608" i="3"/>
  <c r="BR848" i="1" l="1"/>
  <c r="BP849" i="1"/>
  <c r="AE837" i="1"/>
  <c r="AA838" i="1"/>
  <c r="AA839" i="1" s="1"/>
  <c r="AV656" i="1"/>
  <c r="J657" i="1"/>
  <c r="H657" i="1"/>
  <c r="O656" i="1"/>
  <c r="AC656" i="1"/>
  <c r="BR849" i="1" l="1"/>
  <c r="AA840" i="1"/>
  <c r="AE839" i="1"/>
  <c r="AE838" i="1"/>
  <c r="J658" i="1"/>
  <c r="H658" i="1"/>
  <c r="AV657" i="1"/>
  <c r="O657" i="1"/>
  <c r="AC657" i="1"/>
  <c r="AE840" i="1" l="1"/>
  <c r="AA841" i="1"/>
  <c r="O658" i="1"/>
  <c r="J659" i="1"/>
  <c r="AV658" i="1"/>
  <c r="H659" i="1"/>
  <c r="AC658" i="1"/>
  <c r="AE841" i="1" l="1"/>
  <c r="AA842" i="1"/>
  <c r="AV659" i="1"/>
  <c r="H660" i="1"/>
  <c r="J660" i="1"/>
  <c r="O659" i="1"/>
  <c r="AC659" i="1"/>
  <c r="AA615" i="3"/>
  <c r="AA616" i="3"/>
  <c r="AA613" i="3"/>
  <c r="AA614" i="3"/>
  <c r="AA612" i="3"/>
  <c r="AE842" i="1" l="1"/>
  <c r="AA843" i="1"/>
  <c r="AA844" i="1" s="1"/>
  <c r="AV660" i="1"/>
  <c r="H661" i="1"/>
  <c r="J661" i="1"/>
  <c r="O660" i="1"/>
  <c r="AC660" i="1"/>
  <c r="AA845" i="1" l="1"/>
  <c r="AE844" i="1"/>
  <c r="AE843" i="1"/>
  <c r="H662" i="1"/>
  <c r="J662" i="1"/>
  <c r="O661" i="1"/>
  <c r="AV661" i="1"/>
  <c r="AC661" i="1"/>
  <c r="AA846" i="1" l="1"/>
  <c r="AA847" i="1" s="1"/>
  <c r="AE845" i="1"/>
  <c r="O662" i="1"/>
  <c r="AV662" i="1"/>
  <c r="J663" i="1"/>
  <c r="H663" i="1"/>
  <c r="AC662" i="1"/>
  <c r="AA848" i="1" l="1"/>
  <c r="AE847" i="1"/>
  <c r="AE846" i="1"/>
  <c r="O663" i="1"/>
  <c r="J664" i="1"/>
  <c r="H664" i="1"/>
  <c r="AV663" i="1"/>
  <c r="AC663" i="1"/>
  <c r="AE848" i="1" l="1"/>
  <c r="AA849" i="1"/>
  <c r="H665" i="1"/>
  <c r="J665" i="1"/>
  <c r="O664" i="1"/>
  <c r="AV664" i="1"/>
  <c r="AC664" i="1"/>
  <c r="AA618" i="3"/>
  <c r="AA617" i="3"/>
  <c r="AE849" i="1" l="1"/>
  <c r="O665" i="1"/>
  <c r="J666" i="1"/>
  <c r="H666" i="1"/>
  <c r="AV665" i="1"/>
  <c r="AC665" i="1"/>
  <c r="AA619" i="3"/>
  <c r="AJ21" i="2" l="1"/>
  <c r="AD49" i="2"/>
  <c r="AD51" i="2" s="1"/>
  <c r="AD53" i="2" s="1"/>
  <c r="AD55" i="2" s="1"/>
  <c r="AD57" i="2" s="1"/>
  <c r="I21" i="3"/>
  <c r="I35" i="3" s="1"/>
  <c r="AV666" i="1"/>
  <c r="H667" i="1"/>
  <c r="J667" i="1"/>
  <c r="O666" i="1"/>
  <c r="AC666" i="1"/>
  <c r="AV667" i="1" l="1"/>
  <c r="H668" i="1"/>
  <c r="J668" i="1"/>
  <c r="O667" i="1"/>
  <c r="AC667" i="1"/>
  <c r="AA621" i="3"/>
  <c r="AA622" i="3"/>
  <c r="AA620" i="3"/>
  <c r="J669" i="1" l="1"/>
  <c r="H669" i="1"/>
  <c r="O668" i="1"/>
  <c r="AV668" i="1"/>
  <c r="AC668" i="1"/>
  <c r="AV669" i="1" l="1"/>
  <c r="J670" i="1"/>
  <c r="H670" i="1"/>
  <c r="O669" i="1"/>
  <c r="AC669" i="1"/>
  <c r="O670" i="1" l="1"/>
  <c r="J671" i="1"/>
  <c r="H671" i="1"/>
  <c r="AV670" i="1"/>
  <c r="AC670" i="1"/>
  <c r="AV671" i="1" l="1"/>
  <c r="H672" i="1"/>
  <c r="J672" i="1"/>
  <c r="O671" i="1"/>
  <c r="AC671" i="1"/>
  <c r="AA625" i="3"/>
  <c r="AA626" i="3"/>
  <c r="AA623" i="3"/>
  <c r="J673" i="1" l="1"/>
  <c r="H673" i="1"/>
  <c r="O672" i="1"/>
  <c r="AV672" i="1"/>
  <c r="AC672" i="1"/>
  <c r="AA624" i="3"/>
  <c r="AV673" i="1" l="1"/>
  <c r="J674" i="1"/>
  <c r="H674" i="1"/>
  <c r="O673" i="1"/>
  <c r="AC673" i="1"/>
  <c r="H675" i="1" l="1"/>
  <c r="J675" i="1"/>
  <c r="O674" i="1"/>
  <c r="AV674" i="1"/>
  <c r="AC674" i="1"/>
  <c r="O675" i="1" l="1"/>
  <c r="AV675" i="1"/>
  <c r="J676" i="1"/>
  <c r="H676" i="1"/>
  <c r="AC675" i="1"/>
  <c r="AA628" i="3"/>
  <c r="AA627" i="3"/>
  <c r="O676" i="1" l="1"/>
  <c r="J677" i="1"/>
  <c r="H677" i="1"/>
  <c r="AV676" i="1"/>
  <c r="AC676" i="1"/>
  <c r="O677" i="1" l="1"/>
  <c r="H678" i="1"/>
  <c r="J678" i="1"/>
  <c r="AV677" i="1"/>
  <c r="AC677" i="1"/>
  <c r="AA632" i="3"/>
  <c r="AA633" i="3"/>
  <c r="AA630" i="3"/>
  <c r="AA631" i="3"/>
  <c r="AA629" i="3"/>
  <c r="AV678" i="1" l="1"/>
  <c r="J679" i="1"/>
  <c r="H679" i="1"/>
  <c r="O678" i="1"/>
  <c r="AC678" i="1"/>
  <c r="J680" i="1" l="1"/>
  <c r="H680" i="1"/>
  <c r="O679" i="1"/>
  <c r="AV679" i="1"/>
  <c r="AC679" i="1"/>
  <c r="AV680" i="1" l="1"/>
  <c r="J681" i="1"/>
  <c r="H681" i="1"/>
  <c r="O680" i="1"/>
  <c r="AC680" i="1"/>
  <c r="O681" i="1" l="1"/>
  <c r="J682" i="1"/>
  <c r="H682" i="1"/>
  <c r="AV681" i="1"/>
  <c r="AC681" i="1"/>
  <c r="AC682" i="1" l="1"/>
  <c r="H683" i="1"/>
  <c r="O682" i="1"/>
  <c r="J683" i="1"/>
  <c r="AV682" i="1"/>
  <c r="AA637" i="3"/>
  <c r="AA638" i="3"/>
  <c r="AA635" i="3"/>
  <c r="AA636" i="3"/>
  <c r="AA634" i="3"/>
  <c r="H684" i="1" l="1"/>
  <c r="J684" i="1"/>
  <c r="AV683" i="1"/>
  <c r="O683" i="1"/>
  <c r="AC683" i="1"/>
  <c r="O684" i="1" l="1"/>
  <c r="J685" i="1"/>
  <c r="H685" i="1"/>
  <c r="AV684" i="1"/>
  <c r="AC684" i="1"/>
  <c r="O685" i="1" l="1"/>
  <c r="J686" i="1"/>
  <c r="H686" i="1"/>
  <c r="AV685" i="1"/>
  <c r="AC685" i="1"/>
  <c r="J687" i="1" l="1"/>
  <c r="H687" i="1"/>
  <c r="O686" i="1"/>
  <c r="AV686" i="1"/>
  <c r="AC686" i="1"/>
  <c r="AA640" i="3"/>
  <c r="AA641" i="3"/>
  <c r="O687" i="1" l="1"/>
  <c r="J688" i="1"/>
  <c r="H688" i="1"/>
  <c r="AV687" i="1"/>
  <c r="AC687" i="1"/>
  <c r="O688" i="1" l="1"/>
  <c r="J689" i="1"/>
  <c r="H689" i="1"/>
  <c r="AV688" i="1"/>
  <c r="AC688" i="1"/>
  <c r="O689" i="1" l="1"/>
  <c r="J690" i="1"/>
  <c r="H690" i="1"/>
  <c r="AV689" i="1"/>
  <c r="AC689" i="1"/>
  <c r="AA642" i="3"/>
  <c r="J691" i="1" l="1"/>
  <c r="H691" i="1"/>
  <c r="AV690" i="1"/>
  <c r="O690" i="1"/>
  <c r="AC690" i="1"/>
  <c r="AA643" i="3"/>
  <c r="AA644" i="3"/>
  <c r="AV691" i="1" l="1"/>
  <c r="J692" i="1"/>
  <c r="H692" i="1"/>
  <c r="O691" i="1"/>
  <c r="AC691" i="1"/>
  <c r="AV692" i="1" l="1"/>
  <c r="J693" i="1"/>
  <c r="H693" i="1"/>
  <c r="O692" i="1"/>
  <c r="AC692" i="1"/>
  <c r="AA646" i="3"/>
  <c r="AA647" i="3"/>
  <c r="AA645" i="3"/>
  <c r="J694" i="1" l="1"/>
  <c r="H694" i="1"/>
  <c r="AV693" i="1"/>
  <c r="O693" i="1"/>
  <c r="AC693" i="1"/>
  <c r="O694" i="1" l="1"/>
  <c r="J695" i="1"/>
  <c r="H695" i="1"/>
  <c r="AV694" i="1"/>
  <c r="AC694" i="1"/>
  <c r="O695" i="1" l="1"/>
  <c r="J696" i="1"/>
  <c r="H696" i="1"/>
  <c r="AV695" i="1"/>
  <c r="AC695" i="1"/>
  <c r="AA653" i="3"/>
  <c r="AA651" i="3"/>
  <c r="AA652" i="3"/>
  <c r="AA649" i="3"/>
  <c r="AA650" i="3"/>
  <c r="AA648" i="3"/>
  <c r="O696" i="1" l="1"/>
  <c r="J697" i="1"/>
  <c r="H697" i="1"/>
  <c r="AV696" i="1"/>
  <c r="AC696" i="1"/>
  <c r="AV697" i="1" l="1"/>
  <c r="J698" i="1"/>
  <c r="H698" i="1"/>
  <c r="O697" i="1"/>
  <c r="AC697" i="1"/>
  <c r="J699" i="1" l="1"/>
  <c r="H699" i="1"/>
  <c r="O698" i="1"/>
  <c r="AV698" i="1"/>
  <c r="AC698" i="1"/>
  <c r="AV699" i="1" l="1"/>
  <c r="H700" i="1"/>
  <c r="J700" i="1"/>
  <c r="O699" i="1"/>
  <c r="AC699" i="1"/>
  <c r="O700" i="1" l="1"/>
  <c r="J701" i="1"/>
  <c r="H701" i="1"/>
  <c r="AV700" i="1"/>
  <c r="AC700" i="1"/>
  <c r="J702" i="1" l="1"/>
  <c r="H702" i="1"/>
  <c r="O701" i="1"/>
  <c r="AV701" i="1"/>
  <c r="AC701" i="1"/>
  <c r="AA655" i="3"/>
  <c r="AA654" i="3"/>
  <c r="J703" i="1" l="1"/>
  <c r="H703" i="1"/>
  <c r="AV702" i="1"/>
  <c r="O702" i="1"/>
  <c r="AC702" i="1"/>
  <c r="O703" i="1" l="1"/>
  <c r="J704" i="1"/>
  <c r="H704" i="1"/>
  <c r="AV703" i="1"/>
  <c r="AC703" i="1"/>
  <c r="AA656" i="3"/>
  <c r="J705" i="1" l="1"/>
  <c r="H705" i="1"/>
  <c r="O704" i="1"/>
  <c r="AV704" i="1"/>
  <c r="AC704" i="1"/>
  <c r="J706" i="1" l="1"/>
  <c r="H706" i="1"/>
  <c r="AV705" i="1"/>
  <c r="O705" i="1"/>
  <c r="AC705" i="1"/>
  <c r="AA658" i="3"/>
  <c r="AA659" i="3"/>
  <c r="AA657" i="3"/>
  <c r="O706" i="1" l="1"/>
  <c r="J707" i="1"/>
  <c r="H707" i="1"/>
  <c r="AV706" i="1"/>
  <c r="AC706" i="1"/>
  <c r="O707" i="1" l="1"/>
  <c r="J708" i="1"/>
  <c r="H708" i="1"/>
  <c r="AV707" i="1"/>
  <c r="AC707" i="1"/>
  <c r="AA663" i="3"/>
  <c r="AA664" i="3"/>
  <c r="AA661" i="3"/>
  <c r="AA662" i="3"/>
  <c r="AA660" i="3"/>
  <c r="O708" i="1" l="1"/>
  <c r="H709" i="1"/>
  <c r="J709" i="1"/>
  <c r="AV708" i="1"/>
  <c r="AC708" i="1"/>
  <c r="O709" i="1" l="1"/>
  <c r="J710" i="1"/>
  <c r="H710" i="1"/>
  <c r="AV709" i="1"/>
  <c r="AC709" i="1"/>
  <c r="H711" i="1" l="1"/>
  <c r="J711" i="1"/>
  <c r="O710" i="1"/>
  <c r="AV710" i="1"/>
  <c r="AC710" i="1"/>
  <c r="O711" i="1" l="1"/>
  <c r="J712" i="1"/>
  <c r="H712" i="1"/>
  <c r="AV711" i="1"/>
  <c r="AC711" i="1"/>
  <c r="AV712" i="1" l="1"/>
  <c r="J713" i="1"/>
  <c r="H713" i="1"/>
  <c r="O712" i="1"/>
  <c r="AC712" i="1"/>
  <c r="J714" i="1" l="1"/>
  <c r="H714" i="1"/>
  <c r="O713" i="1"/>
  <c r="AV713" i="1"/>
  <c r="AC713" i="1"/>
  <c r="AA666" i="3"/>
  <c r="AA667" i="3"/>
  <c r="AA665" i="3"/>
  <c r="AV714" i="1" l="1"/>
  <c r="J715" i="1"/>
  <c r="H715" i="1"/>
  <c r="O714" i="1"/>
  <c r="AC714" i="1"/>
  <c r="AV715" i="1" l="1"/>
  <c r="J716" i="1"/>
  <c r="H716" i="1"/>
  <c r="O715" i="1"/>
  <c r="AC715" i="1"/>
  <c r="AA674" i="3"/>
  <c r="AA672" i="3"/>
  <c r="AA673" i="3"/>
  <c r="AA670" i="3"/>
  <c r="AA671" i="3"/>
  <c r="AA668" i="3"/>
  <c r="AV716" i="1" l="1"/>
  <c r="J717" i="1"/>
  <c r="H717" i="1"/>
  <c r="O716" i="1"/>
  <c r="AC716" i="1"/>
  <c r="AA669" i="3"/>
  <c r="O717" i="1" l="1"/>
  <c r="AV717" i="1"/>
  <c r="J718" i="1"/>
  <c r="H718" i="1"/>
  <c r="AC717" i="1"/>
  <c r="O718" i="1" l="1"/>
  <c r="J719" i="1"/>
  <c r="H719" i="1"/>
  <c r="AV718" i="1"/>
  <c r="AC718" i="1"/>
  <c r="J720" i="1" l="1"/>
  <c r="H720" i="1"/>
  <c r="AV719" i="1"/>
  <c r="O719" i="1"/>
  <c r="AC719" i="1"/>
  <c r="O720" i="1" l="1"/>
  <c r="J721" i="1"/>
  <c r="H721" i="1"/>
  <c r="AV720" i="1"/>
  <c r="AC720" i="1"/>
  <c r="O721" i="1" l="1"/>
  <c r="H722" i="1"/>
  <c r="J722" i="1"/>
  <c r="AV721" i="1"/>
  <c r="AC721" i="1"/>
  <c r="AV722" i="1" l="1"/>
  <c r="J723" i="1"/>
  <c r="H723" i="1"/>
  <c r="O722" i="1"/>
  <c r="AC722" i="1"/>
  <c r="AA678" i="3"/>
  <c r="AA676" i="3"/>
  <c r="AA677" i="3"/>
  <c r="AA675" i="3"/>
  <c r="J724" i="1" l="1"/>
  <c r="H724" i="1"/>
  <c r="O723" i="1"/>
  <c r="AV723" i="1"/>
  <c r="AC723" i="1"/>
  <c r="O724" i="1" l="1"/>
  <c r="AV724" i="1"/>
  <c r="J725" i="1"/>
  <c r="H725" i="1"/>
  <c r="AC724" i="1"/>
  <c r="O725" i="1" l="1"/>
  <c r="J726" i="1"/>
  <c r="H726" i="1"/>
  <c r="AV725" i="1"/>
  <c r="AC725" i="1"/>
  <c r="O726" i="1" l="1"/>
  <c r="J727" i="1"/>
  <c r="H727" i="1"/>
  <c r="AV726" i="1"/>
  <c r="AC726" i="1"/>
  <c r="AA680" i="3"/>
  <c r="AA681" i="3"/>
  <c r="AA679" i="3"/>
  <c r="O727" i="1" l="1"/>
  <c r="J728" i="1"/>
  <c r="H728" i="1"/>
  <c r="AV727" i="1"/>
  <c r="AC727" i="1"/>
  <c r="AA682" i="3"/>
  <c r="J729" i="1" l="1"/>
  <c r="H729" i="1"/>
  <c r="O728" i="1"/>
  <c r="AV728" i="1"/>
  <c r="AC728" i="1"/>
  <c r="O729" i="1" l="1"/>
  <c r="AV729" i="1"/>
  <c r="J730" i="1"/>
  <c r="H730" i="1"/>
  <c r="AC729" i="1"/>
  <c r="O730" i="1" l="1"/>
  <c r="J731" i="1"/>
  <c r="H731" i="1"/>
  <c r="AV730" i="1"/>
  <c r="AC730" i="1"/>
  <c r="O731" i="1" l="1"/>
  <c r="J732" i="1"/>
  <c r="H732" i="1"/>
  <c r="AV731" i="1"/>
  <c r="AC731" i="1"/>
  <c r="AA686" i="3"/>
  <c r="AA684" i="3"/>
  <c r="AA685" i="3"/>
  <c r="AA683" i="3"/>
  <c r="J733" i="1" l="1"/>
  <c r="H733" i="1"/>
  <c r="O732" i="1"/>
  <c r="AV732" i="1"/>
  <c r="AC732" i="1"/>
  <c r="AV733" i="1" l="1"/>
  <c r="J734" i="1"/>
  <c r="H734" i="1"/>
  <c r="O733" i="1"/>
  <c r="AC733" i="1"/>
  <c r="J735" i="1" l="1"/>
  <c r="H735" i="1"/>
  <c r="O734" i="1"/>
  <c r="AV734" i="1"/>
  <c r="AC734" i="1"/>
  <c r="AA688" i="3"/>
  <c r="AA689" i="3"/>
  <c r="AA687" i="3"/>
  <c r="AV735" i="1" l="1"/>
  <c r="H736" i="1"/>
  <c r="J736" i="1"/>
  <c r="O735" i="1"/>
  <c r="AC735" i="1"/>
  <c r="O736" i="1" l="1"/>
  <c r="J737" i="1"/>
  <c r="H737" i="1"/>
  <c r="AV736" i="1"/>
  <c r="AC736" i="1"/>
  <c r="O737" i="1" l="1"/>
  <c r="J738" i="1"/>
  <c r="H738" i="1"/>
  <c r="AV737" i="1"/>
  <c r="AC737" i="1"/>
  <c r="AA690" i="3"/>
  <c r="H739" i="1" l="1"/>
  <c r="J739" i="1"/>
  <c r="AV738" i="1"/>
  <c r="O738" i="1"/>
  <c r="AC738" i="1"/>
  <c r="AA692" i="3"/>
  <c r="AA693" i="3"/>
  <c r="AV739" i="1" l="1"/>
  <c r="J740" i="1"/>
  <c r="H740" i="1"/>
  <c r="O739" i="1"/>
  <c r="AC739" i="1"/>
  <c r="O740" i="1" l="1"/>
  <c r="J741" i="1"/>
  <c r="H741" i="1"/>
  <c r="AV740" i="1"/>
  <c r="AC740" i="1"/>
  <c r="O741" i="1" l="1"/>
  <c r="J742" i="1"/>
  <c r="H742" i="1"/>
  <c r="AV741" i="1"/>
  <c r="AC741" i="1"/>
  <c r="AA695" i="3"/>
  <c r="AA696" i="3"/>
  <c r="AA694" i="3"/>
  <c r="J743" i="1" l="1"/>
  <c r="H743" i="1"/>
  <c r="O742" i="1"/>
  <c r="AV742" i="1"/>
  <c r="AC742" i="1"/>
  <c r="AV743" i="1" l="1"/>
  <c r="J744" i="1"/>
  <c r="H744" i="1"/>
  <c r="O743" i="1"/>
  <c r="AC743" i="1"/>
  <c r="J745" i="1" l="1"/>
  <c r="H745" i="1"/>
  <c r="AV744" i="1"/>
  <c r="O744" i="1"/>
  <c r="AC744" i="1"/>
  <c r="AA699" i="3"/>
  <c r="AA697" i="3"/>
  <c r="O745" i="1" l="1"/>
  <c r="J746" i="1"/>
  <c r="H746" i="1"/>
  <c r="AV745" i="1"/>
  <c r="AC745" i="1"/>
  <c r="O746" i="1" l="1"/>
  <c r="H747" i="1"/>
  <c r="J747" i="1"/>
  <c r="AV746" i="1"/>
  <c r="AC746" i="1"/>
  <c r="J748" i="1" l="1"/>
  <c r="H748" i="1"/>
  <c r="O747" i="1"/>
  <c r="AV747" i="1"/>
  <c r="AC747" i="1"/>
  <c r="AA701" i="3"/>
  <c r="AA702" i="3"/>
  <c r="AA700" i="3"/>
  <c r="AV748" i="1" l="1"/>
  <c r="H749" i="1"/>
  <c r="J749" i="1"/>
  <c r="O748" i="1"/>
  <c r="AC748" i="1"/>
  <c r="O749" i="1" l="1"/>
  <c r="J750" i="1"/>
  <c r="H750" i="1"/>
  <c r="AV749" i="1"/>
  <c r="AC749" i="1"/>
  <c r="AV750" i="1" l="1"/>
  <c r="J751" i="1"/>
  <c r="H751" i="1"/>
  <c r="O750" i="1"/>
  <c r="AC750" i="1"/>
  <c r="AA706" i="3"/>
  <c r="AA707" i="3"/>
  <c r="AA704" i="3"/>
  <c r="AA705" i="3"/>
  <c r="AA703" i="3"/>
  <c r="O751" i="1" l="1"/>
  <c r="J752" i="1"/>
  <c r="H752" i="1"/>
  <c r="AV751" i="1"/>
  <c r="AC751" i="1"/>
  <c r="H753" i="1" l="1"/>
  <c r="J753" i="1"/>
  <c r="AV752" i="1"/>
  <c r="O752" i="1"/>
  <c r="AC752" i="1"/>
  <c r="O753" i="1" l="1"/>
  <c r="J754" i="1"/>
  <c r="H754" i="1"/>
  <c r="AV753" i="1"/>
  <c r="AC753" i="1"/>
  <c r="O754" i="1" l="1"/>
  <c r="J755" i="1"/>
  <c r="H755" i="1"/>
  <c r="AV754" i="1"/>
  <c r="AC754" i="1"/>
  <c r="O755" i="1" l="1"/>
  <c r="J756" i="1"/>
  <c r="H756" i="1"/>
  <c r="AV755" i="1"/>
  <c r="AC755" i="1"/>
  <c r="AA709" i="3"/>
  <c r="AA710" i="3"/>
  <c r="AA708" i="3"/>
  <c r="J757" i="1" l="1"/>
  <c r="H757" i="1"/>
  <c r="O756" i="1"/>
  <c r="AV756" i="1"/>
  <c r="AC756" i="1"/>
  <c r="O757" i="1" l="1"/>
  <c r="AV757" i="1"/>
  <c r="J758" i="1"/>
  <c r="H758" i="1"/>
  <c r="AC757" i="1"/>
  <c r="H759" i="1" l="1"/>
  <c r="J759" i="1"/>
  <c r="O758" i="1"/>
  <c r="AV758" i="1"/>
  <c r="AC758" i="1"/>
  <c r="AV759" i="1" l="1"/>
  <c r="J760" i="1"/>
  <c r="H760" i="1"/>
  <c r="O759" i="1"/>
  <c r="AC759" i="1"/>
  <c r="AA716" i="3"/>
  <c r="AA714" i="3"/>
  <c r="AA715" i="3"/>
  <c r="AA712" i="3"/>
  <c r="AA713" i="3"/>
  <c r="AA711" i="3"/>
  <c r="O760" i="1" l="1"/>
  <c r="H761" i="1"/>
  <c r="J761" i="1"/>
  <c r="AV760" i="1"/>
  <c r="AC760" i="1"/>
  <c r="J762" i="1" l="1"/>
  <c r="H762" i="1"/>
  <c r="AV761" i="1"/>
  <c r="O761" i="1"/>
  <c r="AC761" i="1"/>
  <c r="O762" i="1" l="1"/>
  <c r="H763" i="1"/>
  <c r="J763" i="1"/>
  <c r="AV762" i="1"/>
  <c r="AC762" i="1"/>
  <c r="AV763" i="1" l="1"/>
  <c r="H764" i="1"/>
  <c r="J764" i="1"/>
  <c r="O763" i="1"/>
  <c r="AC763" i="1"/>
  <c r="AV764" i="1" l="1"/>
  <c r="H765" i="1"/>
  <c r="J765" i="1"/>
  <c r="O764" i="1"/>
  <c r="AC764" i="1"/>
  <c r="AA720" i="3"/>
  <c r="AA721" i="3"/>
  <c r="AA718" i="3"/>
  <c r="AA719" i="3"/>
  <c r="AA717" i="3"/>
  <c r="O765" i="1" l="1"/>
  <c r="H766" i="1"/>
  <c r="J766" i="1"/>
  <c r="AV765" i="1"/>
  <c r="AC765" i="1"/>
  <c r="J767" i="1" l="1"/>
  <c r="H767" i="1"/>
  <c r="O766" i="1"/>
  <c r="AV766" i="1"/>
  <c r="AC766" i="1"/>
  <c r="AV767" i="1" l="1"/>
  <c r="H768" i="1"/>
  <c r="J768" i="1"/>
  <c r="O767" i="1"/>
  <c r="AC767" i="1"/>
  <c r="J769" i="1" l="1"/>
  <c r="H769" i="1"/>
  <c r="AV768" i="1"/>
  <c r="O768" i="1"/>
  <c r="AC768" i="1"/>
  <c r="O769" i="1" l="1"/>
  <c r="J770" i="1"/>
  <c r="H770" i="1"/>
  <c r="AV769" i="1"/>
  <c r="AC769" i="1"/>
  <c r="AA723" i="3"/>
  <c r="AA722" i="3"/>
  <c r="AV770" i="1" l="1"/>
  <c r="H771" i="1"/>
  <c r="J771" i="1"/>
  <c r="O770" i="1"/>
  <c r="AC770" i="1"/>
  <c r="AV771" i="1" l="1"/>
  <c r="J772" i="1"/>
  <c r="H772" i="1"/>
  <c r="O771" i="1"/>
  <c r="AC771" i="1"/>
  <c r="AA725" i="3"/>
  <c r="AA726" i="3"/>
  <c r="AA724" i="3"/>
  <c r="J773" i="1" l="1"/>
  <c r="H773" i="1"/>
  <c r="O772" i="1"/>
  <c r="AV772" i="1"/>
  <c r="AC772" i="1"/>
  <c r="AV773" i="1" l="1"/>
  <c r="H774" i="1"/>
  <c r="J774" i="1"/>
  <c r="O773" i="1"/>
  <c r="AC773" i="1"/>
  <c r="O774" i="1" l="1"/>
  <c r="J775" i="1"/>
  <c r="H775" i="1"/>
  <c r="AV774" i="1"/>
  <c r="AC774" i="1"/>
  <c r="AA730" i="3"/>
  <c r="AA728" i="3"/>
  <c r="AA729" i="3"/>
  <c r="AA727" i="3"/>
  <c r="J776" i="1" l="1"/>
  <c r="H776" i="1"/>
  <c r="O775" i="1"/>
  <c r="AV775" i="1"/>
  <c r="AC775" i="1"/>
  <c r="O776" i="1" l="1"/>
  <c r="J777" i="1"/>
  <c r="H777" i="1"/>
  <c r="AV776" i="1"/>
  <c r="AC776" i="1"/>
  <c r="O777" i="1" l="1"/>
  <c r="J778" i="1"/>
  <c r="H778" i="1"/>
  <c r="AV777" i="1"/>
  <c r="AC777" i="1"/>
  <c r="AV778" i="1" l="1"/>
  <c r="H779" i="1"/>
  <c r="J779" i="1"/>
  <c r="O778" i="1"/>
  <c r="AC778" i="1"/>
  <c r="AA732" i="3"/>
  <c r="AA733" i="3"/>
  <c r="AA731" i="3"/>
  <c r="H780" i="1" l="1"/>
  <c r="J780" i="1"/>
  <c r="O779" i="1"/>
  <c r="AV779" i="1"/>
  <c r="AC779" i="1"/>
  <c r="AV780" i="1" l="1"/>
  <c r="J781" i="1"/>
  <c r="H781" i="1"/>
  <c r="O780" i="1"/>
  <c r="AC780" i="1"/>
  <c r="AV781" i="1" l="1"/>
  <c r="H782" i="1"/>
  <c r="J782" i="1"/>
  <c r="O781" i="1"/>
  <c r="AC781" i="1"/>
  <c r="H783" i="1" l="1"/>
  <c r="J783" i="1"/>
  <c r="O782" i="1"/>
  <c r="AV782" i="1"/>
  <c r="AC782" i="1"/>
  <c r="AA737" i="3"/>
  <c r="AA735" i="3"/>
  <c r="AA736" i="3"/>
  <c r="AA734" i="3"/>
  <c r="O783" i="1" l="1"/>
  <c r="J784" i="1"/>
  <c r="H784" i="1"/>
  <c r="AV783" i="1"/>
  <c r="AC783" i="1"/>
  <c r="O784" i="1" l="1"/>
  <c r="H785" i="1"/>
  <c r="J785" i="1"/>
  <c r="AV784" i="1"/>
  <c r="AC784" i="1"/>
  <c r="O785" i="1" l="1"/>
  <c r="J786" i="1"/>
  <c r="H786" i="1"/>
  <c r="AV785" i="1"/>
  <c r="AC785" i="1"/>
  <c r="AA741" i="3"/>
  <c r="AA742" i="3"/>
  <c r="AA739" i="3"/>
  <c r="AA740" i="3"/>
  <c r="AA738" i="3"/>
  <c r="O786" i="1" l="1"/>
  <c r="J787" i="1"/>
  <c r="H787" i="1"/>
  <c r="AV786" i="1"/>
  <c r="AC786" i="1"/>
  <c r="O787" i="1" l="1"/>
  <c r="AV787" i="1"/>
  <c r="H788" i="1"/>
  <c r="J788" i="1"/>
  <c r="AC787" i="1"/>
  <c r="H789" i="1" l="1"/>
  <c r="J789" i="1"/>
  <c r="AC788" i="1"/>
  <c r="AV788" i="1"/>
  <c r="O788" i="1"/>
  <c r="AV789" i="1" l="1"/>
  <c r="H790" i="1"/>
  <c r="J790" i="1"/>
  <c r="O789" i="1"/>
  <c r="AC789" i="1"/>
  <c r="O790" i="1" l="1"/>
  <c r="J791" i="1"/>
  <c r="H791" i="1"/>
  <c r="AV790" i="1"/>
  <c r="AC790" i="1"/>
  <c r="O791" i="1" l="1"/>
  <c r="J792" i="1"/>
  <c r="H792" i="1"/>
  <c r="AV791" i="1"/>
  <c r="AC791" i="1"/>
  <c r="AA745" i="3"/>
  <c r="AA746" i="3"/>
  <c r="AA744" i="3"/>
  <c r="R744" i="3"/>
  <c r="R745" i="3" s="1"/>
  <c r="AA743" i="3"/>
  <c r="J793" i="1" l="1"/>
  <c r="H793" i="1"/>
  <c r="O792" i="1"/>
  <c r="AV792" i="1"/>
  <c r="AC792" i="1"/>
  <c r="AV793" i="1" l="1"/>
  <c r="H794" i="1"/>
  <c r="J794" i="1"/>
  <c r="O793" i="1"/>
  <c r="AC793" i="1"/>
  <c r="O794" i="1" l="1"/>
  <c r="J795" i="1"/>
  <c r="H795" i="1"/>
  <c r="AV794" i="1"/>
  <c r="AC794" i="1"/>
  <c r="AV795" i="1" l="1"/>
  <c r="H796" i="1"/>
  <c r="J796" i="1"/>
  <c r="O795" i="1"/>
  <c r="AC795" i="1"/>
  <c r="AA750" i="3"/>
  <c r="AA751" i="3"/>
  <c r="AA748" i="3"/>
  <c r="AA749" i="3"/>
  <c r="AA747" i="3"/>
  <c r="H797" i="1" l="1"/>
  <c r="J797" i="1"/>
  <c r="O796" i="1"/>
  <c r="AV796" i="1"/>
  <c r="AC796" i="1"/>
  <c r="AV797" i="1" l="1"/>
  <c r="J798" i="1"/>
  <c r="H798" i="1"/>
  <c r="O797" i="1"/>
  <c r="AC797" i="1"/>
  <c r="O798" i="1" l="1"/>
  <c r="J799" i="1"/>
  <c r="H799" i="1"/>
  <c r="AV798" i="1"/>
  <c r="AC798" i="1"/>
  <c r="J800" i="1" l="1"/>
  <c r="H800" i="1"/>
  <c r="O799" i="1"/>
  <c r="AV799" i="1"/>
  <c r="AC799" i="1"/>
  <c r="AA753" i="3"/>
  <c r="AA754" i="3"/>
  <c r="AA752" i="3"/>
  <c r="AV800" i="1" l="1"/>
  <c r="H801" i="1"/>
  <c r="J801" i="1"/>
  <c r="O800" i="1"/>
  <c r="AC800" i="1"/>
  <c r="AV801" i="1" l="1"/>
  <c r="J802" i="1"/>
  <c r="H802" i="1"/>
  <c r="O801" i="1"/>
  <c r="AC801" i="1"/>
  <c r="AA758" i="3"/>
  <c r="P758" i="3"/>
  <c r="P737" i="3" s="1"/>
  <c r="R758" i="3"/>
  <c r="R751" i="3" s="1"/>
  <c r="AA756" i="3"/>
  <c r="AA757" i="3"/>
  <c r="AA755" i="3"/>
  <c r="AV802" i="1" l="1"/>
  <c r="J803" i="1"/>
  <c r="H803" i="1"/>
  <c r="O802" i="1"/>
  <c r="AC802" i="1"/>
  <c r="J804" i="1" l="1"/>
  <c r="H804" i="1"/>
  <c r="O803" i="1"/>
  <c r="AV803" i="1"/>
  <c r="AC803" i="1"/>
  <c r="O804" i="1" l="1"/>
  <c r="J805" i="1"/>
  <c r="H805" i="1"/>
  <c r="AV804" i="1"/>
  <c r="AC804" i="1"/>
  <c r="O805" i="1" l="1"/>
  <c r="H806" i="1"/>
  <c r="J806" i="1"/>
  <c r="AV805" i="1"/>
  <c r="AC805" i="1"/>
  <c r="AV806" i="1" l="1"/>
  <c r="H807" i="1"/>
  <c r="J807" i="1"/>
  <c r="O806" i="1"/>
  <c r="AC806" i="1"/>
  <c r="AA762" i="3"/>
  <c r="AA760" i="3"/>
  <c r="AA761" i="3"/>
  <c r="AA759" i="3"/>
  <c r="AV807" i="1" l="1"/>
  <c r="J808" i="1"/>
  <c r="H808" i="1"/>
  <c r="O807" i="1"/>
  <c r="AC807" i="1"/>
  <c r="H809" i="1" l="1"/>
  <c r="J809" i="1"/>
  <c r="AV808" i="1"/>
  <c r="O808" i="1"/>
  <c r="AC808" i="1"/>
  <c r="O809" i="1" l="1"/>
  <c r="J810" i="1"/>
  <c r="H810" i="1"/>
  <c r="AV809" i="1"/>
  <c r="AC809" i="1"/>
  <c r="AV810" i="1" l="1"/>
  <c r="H811" i="1"/>
  <c r="J811" i="1"/>
  <c r="O810" i="1"/>
  <c r="AC810" i="1"/>
  <c r="AA766" i="3"/>
  <c r="AA767" i="3"/>
  <c r="AA764" i="3"/>
  <c r="AA765" i="3"/>
  <c r="AA763" i="3"/>
  <c r="O811" i="1" l="1"/>
  <c r="J812" i="1"/>
  <c r="H812" i="1"/>
  <c r="AV811" i="1"/>
  <c r="AC811" i="1"/>
  <c r="O812" i="1" l="1"/>
  <c r="J813" i="1"/>
  <c r="AV812" i="1"/>
  <c r="H813" i="1"/>
  <c r="AC812" i="1"/>
  <c r="H814" i="1" l="1"/>
  <c r="J814" i="1"/>
  <c r="O813" i="1"/>
  <c r="AV813" i="1"/>
  <c r="AC813" i="1"/>
  <c r="AV814" i="1" l="1"/>
  <c r="J815" i="1"/>
  <c r="H815" i="1"/>
  <c r="O814" i="1"/>
  <c r="AC814" i="1"/>
  <c r="AV815" i="1" l="1"/>
  <c r="J816" i="1"/>
  <c r="H816" i="1"/>
  <c r="O815" i="1"/>
  <c r="AC815" i="1"/>
  <c r="AA771" i="3"/>
  <c r="AA769" i="3"/>
  <c r="AA770" i="3"/>
  <c r="AA768" i="3"/>
  <c r="O816" i="1" l="1"/>
  <c r="J817" i="1"/>
  <c r="H817" i="1"/>
  <c r="AV816" i="1"/>
  <c r="AC816" i="1"/>
  <c r="J818" i="1" l="1"/>
  <c r="H818" i="1"/>
  <c r="O817" i="1"/>
  <c r="AV817" i="1"/>
  <c r="AC817" i="1"/>
  <c r="AV818" i="1" l="1"/>
  <c r="H819" i="1"/>
  <c r="J819" i="1"/>
  <c r="O818" i="1"/>
  <c r="AC818" i="1"/>
  <c r="AV819" i="1" l="1"/>
  <c r="J820" i="1"/>
  <c r="H820" i="1"/>
  <c r="O819" i="1"/>
  <c r="AC819" i="1"/>
  <c r="AA775" i="3"/>
  <c r="AA773" i="3"/>
  <c r="AA774" i="3"/>
  <c r="AA772" i="3"/>
  <c r="O820" i="1" l="1"/>
  <c r="AV820" i="1"/>
  <c r="H821" i="1"/>
  <c r="J821" i="1"/>
  <c r="AC820" i="1"/>
  <c r="J822" i="1" l="1"/>
  <c r="H822" i="1"/>
  <c r="AV821" i="1"/>
  <c r="O821" i="1"/>
  <c r="AC821" i="1"/>
  <c r="AV822" i="1" l="1"/>
  <c r="H823" i="1"/>
  <c r="J823" i="1"/>
  <c r="O822" i="1"/>
  <c r="AC822" i="1"/>
  <c r="AV823" i="1" l="1"/>
  <c r="J824" i="1"/>
  <c r="H824" i="1"/>
  <c r="O823" i="1"/>
  <c r="AC823" i="1"/>
  <c r="J825" i="1" l="1"/>
  <c r="H825" i="1"/>
  <c r="AV824" i="1"/>
  <c r="O824" i="1"/>
  <c r="AC824" i="1"/>
  <c r="AA778" i="3"/>
  <c r="AA779" i="3"/>
  <c r="AA777" i="3"/>
  <c r="AV825" i="1" l="1"/>
  <c r="J826" i="1"/>
  <c r="H826" i="1"/>
  <c r="O825" i="1"/>
  <c r="AC825" i="1"/>
  <c r="O826" i="1" l="1"/>
  <c r="J827" i="1"/>
  <c r="H827" i="1"/>
  <c r="AV826" i="1"/>
  <c r="AC826" i="1"/>
  <c r="AV827" i="1" l="1"/>
  <c r="J828" i="1"/>
  <c r="H828" i="1"/>
  <c r="O827" i="1"/>
  <c r="AC827" i="1"/>
  <c r="AA785" i="3"/>
  <c r="AA786" i="3"/>
  <c r="AA783" i="3"/>
  <c r="AA784" i="3"/>
  <c r="AA781" i="3"/>
  <c r="AA782" i="3"/>
  <c r="AA780" i="3"/>
  <c r="AV828" i="1" l="1"/>
  <c r="J829" i="1"/>
  <c r="H829" i="1"/>
  <c r="O828" i="1"/>
  <c r="AC828" i="1"/>
  <c r="AV829" i="1" l="1"/>
  <c r="J830" i="1"/>
  <c r="H830" i="1"/>
  <c r="O829" i="1"/>
  <c r="AC829" i="1"/>
  <c r="O830" i="1" l="1"/>
  <c r="J831" i="1"/>
  <c r="H831" i="1"/>
  <c r="AV830" i="1"/>
  <c r="AC830" i="1"/>
  <c r="J832" i="1" l="1"/>
  <c r="H832" i="1"/>
  <c r="O831" i="1"/>
  <c r="AV831" i="1"/>
  <c r="AC831" i="1"/>
  <c r="AV832" i="1" l="1"/>
  <c r="J833" i="1"/>
  <c r="H833" i="1"/>
  <c r="O832" i="1"/>
  <c r="AC832" i="1"/>
  <c r="AV833" i="1" l="1"/>
  <c r="J834" i="1"/>
  <c r="H834" i="1"/>
  <c r="O833" i="1"/>
  <c r="AC833" i="1"/>
  <c r="AV834" i="1" l="1"/>
  <c r="J835" i="1"/>
  <c r="H835" i="1"/>
  <c r="O834" i="1"/>
  <c r="AC834" i="1"/>
  <c r="AA792" i="3"/>
  <c r="AA793" i="3"/>
  <c r="AA790" i="3"/>
  <c r="AA791" i="3"/>
  <c r="AA788" i="3"/>
  <c r="AA789" i="3"/>
  <c r="AA787" i="3"/>
  <c r="AV835" i="1" l="1"/>
  <c r="J836" i="1"/>
  <c r="H836" i="1"/>
  <c r="O835" i="1"/>
  <c r="AC835" i="1"/>
  <c r="O836" i="1" l="1"/>
  <c r="H837" i="1"/>
  <c r="I23" i="3" s="1"/>
  <c r="I25" i="3" s="1"/>
  <c r="I27" i="3" s="1"/>
  <c r="AV836" i="1"/>
  <c r="J837" i="1"/>
  <c r="AC836" i="1"/>
  <c r="N27" i="3" l="1"/>
  <c r="N28" i="3" s="1"/>
  <c r="I34" i="3"/>
  <c r="AV837" i="1"/>
  <c r="J838" i="1"/>
  <c r="H838" i="1"/>
  <c r="O837" i="1"/>
  <c r="AC837" i="1"/>
  <c r="H839" i="1" l="1"/>
  <c r="J839" i="1"/>
  <c r="O838" i="1"/>
  <c r="AV838" i="1"/>
  <c r="AC838" i="1"/>
  <c r="O839" i="1" l="1"/>
  <c r="J840" i="1"/>
  <c r="H840" i="1"/>
  <c r="AV839" i="1"/>
  <c r="AC839" i="1"/>
  <c r="O840" i="1" l="1"/>
  <c r="H841" i="1"/>
  <c r="J841" i="1"/>
  <c r="AV840" i="1"/>
  <c r="AC840" i="1"/>
  <c r="AV841" i="1" l="1"/>
  <c r="J842" i="1"/>
  <c r="H842" i="1"/>
  <c r="O841" i="1"/>
  <c r="AC841" i="1"/>
  <c r="AA797" i="3"/>
  <c r="AA795" i="3"/>
  <c r="AA796" i="3"/>
  <c r="AA794" i="3"/>
  <c r="O842" i="1" l="1"/>
  <c r="J843" i="1"/>
  <c r="H843" i="1"/>
  <c r="AV842" i="1"/>
  <c r="AC842" i="1"/>
  <c r="J844" i="1" l="1"/>
  <c r="H844" i="1"/>
  <c r="AV843" i="1"/>
  <c r="O843" i="1"/>
  <c r="AC843" i="1"/>
  <c r="AV844" i="1" l="1"/>
  <c r="J845" i="1"/>
  <c r="H845" i="1"/>
  <c r="O844" i="1"/>
  <c r="AC844" i="1"/>
  <c r="O845" i="1" l="1"/>
  <c r="J846" i="1"/>
  <c r="H846" i="1"/>
  <c r="AV845" i="1"/>
  <c r="AC845" i="1"/>
  <c r="AA801" i="3"/>
  <c r="AA799" i="3"/>
  <c r="AA800" i="3"/>
  <c r="AA798" i="3"/>
  <c r="J847" i="1" l="1"/>
  <c r="H847" i="1"/>
  <c r="O846" i="1"/>
  <c r="AV846" i="1"/>
  <c r="AC846" i="1"/>
  <c r="O847" i="1" l="1"/>
  <c r="H848" i="1"/>
  <c r="J848" i="1"/>
  <c r="AV847" i="1"/>
  <c r="AC847" i="1"/>
  <c r="AV848" i="1" l="1"/>
  <c r="J849" i="1"/>
  <c r="H849" i="1"/>
  <c r="O848" i="1"/>
  <c r="AC848" i="1"/>
  <c r="O849" i="1" l="1"/>
  <c r="AV849" i="1"/>
  <c r="AC849" i="1"/>
  <c r="AA803" i="3"/>
  <c r="AA802" i="3"/>
  <c r="AF21" i="2" l="1"/>
  <c r="I32" i="3"/>
  <c r="I28" i="3" l="1"/>
  <c r="L32" i="3"/>
  <c r="L35" i="3"/>
  <c r="I36" i="3"/>
  <c r="W807" i="3" s="1"/>
  <c r="AA807" i="3" s="1"/>
  <c r="L34" i="3"/>
  <c r="AA805" i="3" l="1"/>
  <c r="AA806" i="3"/>
  <c r="AA804" i="3"/>
  <c r="L36" i="3"/>
  <c r="Y244" i="3" l="1"/>
  <c r="Y121" i="3"/>
  <c r="Y214" i="3"/>
  <c r="Y350" i="3"/>
  <c r="Y12" i="3"/>
</calcChain>
</file>

<file path=xl/sharedStrings.xml><?xml version="1.0" encoding="utf-8"?>
<sst xmlns="http://schemas.openxmlformats.org/spreadsheetml/2006/main" count="396" uniqueCount="190">
  <si>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</si>
  <si>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</si>
  <si>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</si>
  <si>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</si>
  <si>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</si>
  <si>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</si>
  <si>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</si>
  <si>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</si>
  <si>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</si>
  <si>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</si>
  <si>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</si>
  <si>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</si>
  <si>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</si>
  <si>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</si>
  <si>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</si>
  <si>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</si>
  <si>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</si>
  <si>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</si>
  <si>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</si>
  <si>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</si>
  <si>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</si>
  <si>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</si>
  <si>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</si>
  <si>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</si>
  <si>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</si>
  <si>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</si>
  <si>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</si>
  <si>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</si>
  <si>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</si>
  <si>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</si>
  <si>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</si>
  <si>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</si>
  <si>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</si>
  <si>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</si>
  <si>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</si>
  <si>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</si>
  <si>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</si>
  <si>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</si>
  <si>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</si>
  <si>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</si>
  <si>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</si>
  <si>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</si>
  <si>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</si>
  <si>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</si>
  <si>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</si>
  <si>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</si>
  <si>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</si>
  <si>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</si>
  <si>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</si>
  <si>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</si>
  <si>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</si>
  <si>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</si>
  <si>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</si>
  <si>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</si>
  <si>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</si>
  <si>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</si>
  <si>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</si>
  <si>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</si>
  <si>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</si>
  <si>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</si>
  <si>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</si>
  <si>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</si>
  <si>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</si>
  <si>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</si>
  <si>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</si>
  <si>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</si>
  <si>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</si>
  <si>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</si>
  <si>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</si>
  <si>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</si>
  <si>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</si>
  <si>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</si>
  <si>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</si>
  <si>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</si>
  <si>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</si>
  <si>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</si>
  <si>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</si>
  <si>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</si>
  <si>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</si>
  <si>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</si>
  <si>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</si>
  <si>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</si>
  <si>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</si>
  <si>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</si>
  <si>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</si>
  <si>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</si>
  <si>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</si>
  <si>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</si>
  <si>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</si>
  <si>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</si>
  <si>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</si>
  <si>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</si>
  <si>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</si>
  <si>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</si>
  <si>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</si>
  <si>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</si>
  <si>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</si>
  <si>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</si>
  <si>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</si>
  <si>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</si>
  <si>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</si>
  <si>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</si>
  <si>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</si>
  <si>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</si>
  <si>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</si>
  <si>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</si>
  <si>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</si>
  <si>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</si>
  <si>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</si>
  <si>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</si>
  <si>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</si>
  <si>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</si>
  <si>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</si>
  <si>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</si>
  <si>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</si>
  <si>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</si>
  <si>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</si>
  <si>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</si>
  <si>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</si>
  <si>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</si>
  <si>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</si>
  <si>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</si>
  <si>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</si>
  <si>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</si>
  <si>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</si>
  <si>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</si>
  <si>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</si>
  <si>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</si>
  <si>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</si>
  <si>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</si>
  <si>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</si>
  <si>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</si>
  <si>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</si>
  <si>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</si>
  <si>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</si>
  <si>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</si>
  <si>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</si>
  <si>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</si>
  <si>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</si>
  <si>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</si>
  <si>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</si>
  <si>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</si>
  <si>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</si>
  <si>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</si>
  <si>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</si>
  <si>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</si>
  <si>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</si>
  <si>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</si>
  <si>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</si>
  <si>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</si>
  <si>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</si>
  <si>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</si>
  <si>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</si>
  <si>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</si>
  <si>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</si>
  <si>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</si>
  <si>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</si>
  <si>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</si>
  <si>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</si>
  <si>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</si>
  <si>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</si>
  <si>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</si>
  <si>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</si>
  <si>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</si>
  <si>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</si>
  <si>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</si>
  <si>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</si>
  <si>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</si>
  <si>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</si>
  <si>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</si>
  <si>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</si>
  <si>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</si>
  <si>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</si>
  <si>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</si>
  <si>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</si>
  <si>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</si>
  <si>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</si>
  <si>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</si>
  <si>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</si>
  <si>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</si>
  <si>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</si>
  <si>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</si>
  <si>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</si>
  <si>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</si>
  <si>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</si>
  <si>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</si>
  <si>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</si>
  <si>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</si>
  <si>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August 1</t>
  </si>
  <si>
    <t>August 2 -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</si>
</sst>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164" fontId="0" fillId="0" borderId="19" xfId="0" applyNumberFormat="1" applyBorder="1"/>
    <xf numFmtId="49" fontId="5" fillId="5" borderId="0" xfId="0" applyNumberFormat="1" applyFont="1" applyFill="1"/>
    <xf numFmtId="164" fontId="0" fillId="5" borderId="0" xfId="0" applyNumberFormat="1" applyFill="1"/>
    <xf numFmtId="0" fontId="0" fillId="5" borderId="0" xfId="0" applyFill="1"/>
    <xf numFmtId="38" fontId="0" fillId="5" borderId="0" xfId="0" applyNumberFormat="1" applyFill="1"/>
    <xf numFmtId="0" fontId="0" fillId="5" borderId="0" xfId="0" applyFill="1" applyAlignment="1">
      <alignment vertical="center"/>
    </xf>
    <xf numFmtId="49" fontId="5" fillId="25" borderId="0" xfId="0" applyNumberFormat="1" applyFont="1" applyFill="1"/>
    <xf numFmtId="164" fontId="2" fillId="21" borderId="0" xfId="0" applyNumberFormat="1" applyFont="1" applyFill="1"/>
    <xf numFmtId="0" fontId="23" fillId="0" borderId="0" xfId="0" applyFont="1"/>
    <xf numFmtId="164" fontId="2" fillId="1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10" fillId="12" borderId="0" xfId="0" applyFont="1" applyFill="1" applyAlignment="1">
      <alignment horizontal="left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/>
    </xf>
    <xf numFmtId="164" fontId="2" fillId="12" borderId="0" xfId="1" applyNumberFormat="1" applyFont="1" applyFill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70C0"/>
                </a:solidFill>
              </a:rPr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Table'!$BA$962:$BA$966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Table'!$AS$967:$AT$972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Table'!$BA$967:$BA$972</c:f>
              <c:numCache>
                <c:formatCode>_(* #,##0_);_(* \(#,##0\);_(* "-"??_);_(@_)</c:formatCode>
                <c:ptCount val="6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17702720</c:v>
                </c:pt>
                <c:pt idx="5">
                  <c:v>18127951.649189189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Table'!$BC$962:$BC$966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Table'!$AS$967:$AT$972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Table'!$BC$967:$BC$972</c:f>
              <c:numCache>
                <c:formatCode>_(* #,##0_);_(* \(#,##0\);_(* "-"??_);_(@_)</c:formatCode>
                <c:ptCount val="6"/>
                <c:pt idx="0">
                  <c:v>61434009</c:v>
                </c:pt>
                <c:pt idx="1">
                  <c:v>73870921</c:v>
                </c:pt>
                <c:pt idx="2">
                  <c:v>59096736.800000004</c:v>
                </c:pt>
                <c:pt idx="3">
                  <c:v>48754807.859999992</c:v>
                </c:pt>
                <c:pt idx="4">
                  <c:v>36659557</c:v>
                </c:pt>
                <c:pt idx="5">
                  <c:v>45167742.416846842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Table'!$BJ$962:$BJ$966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Table'!$AS$967:$AT$972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Table'!$BJ$967:$BJ$971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Table'!$BK$962:$BK$966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Table'!$AS$967:$AT$972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Table'!$BK$967:$BK$971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Table'!$BL$962:$BL$966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Table'!$AS$967:$AT$972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Table'!$BL$967:$BL$971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Table'!$BM$962:$BM$966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Table'!$AS$967:$AT$972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Table'!$BM$967:$BM$971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Table'!$BP$962:$BP$966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Table'!$AS$967:$AT$972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Table'!$BP$967:$BP$972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164760000</c:v>
                </c:pt>
                <c:pt idx="5">
                  <c:v>203610000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Table'!$AU$962:$AU$966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Table'!$AS$967:$AT$972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Table'!$AU$967:$AU$972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Table'!$AV$962:$AV$966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Table'!$AS$967:$AT$972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Table'!$AV$967:$AV$971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Table'!$AW$962:$AW$966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Table'!$AS$967:$AT$972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Table'!$AW$967:$AW$971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Table'!$AX$962:$AX$966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Table'!$AS$967:$AT$972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Table'!$AX$967:$AX$971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Table'!$AY$962:$AY$966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Table'!$AS$967:$AT$972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Table'!$AY$967:$AY$971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Table'!$AZ$962:$AZ$966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Table'!$AS$967:$AT$972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Table'!$AZ$967:$AZ$971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Table'!$BB$962:$BB$966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Table'!$AS$967:$AT$972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Table'!$BB$967:$BB$971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Table'!$BD$962:$BD$966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Table'!$AS$967:$AT$972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Table'!$BD$967:$BD$971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Table'!$BE$962:$BE$966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Table'!$AS$967:$AT$972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Table'!$BE$967:$BE$971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54362277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Table'!$BF$962:$BF$966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Table'!$AS$967:$AT$972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Table'!$BF$967:$BF$971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Table'!$BG$962:$BG$966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Table'!$AS$967:$AT$972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Table'!$BG$967:$BG$971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111340000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Table'!$BH$962:$BH$966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Table'!$AS$967:$AT$972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Table'!$BH$967:$BH$971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Table'!$BI$962:$BI$966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Table'!$AS$967:$AT$972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Table'!$BI$967:$BI$971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Table'!$BN$962:$BN$966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Table'!$AS$967:$AT$972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Table'!$BN$967:$BN$971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Table'!$BO$962:$BO$966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Table'!$AS$967:$AT$972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Table'!$BO$967:$BO$971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Table'!$BQ$962:$BQ$966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Table'!$AS$967:$AT$972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Table'!$BQ$967:$BQ$971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Table'!$BR$962:$BR$966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Table'!$AS$967:$AT$972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Table'!$BR$967:$BR$971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Table'!$BS$962:$BS$966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Table'!$AS$967:$AT$972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Table'!$BS$967:$BS$971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Table'!$BT$962:$BT$966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 w="25400"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Table'!$AS$967:$AT$972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Table'!$BR$967:$BR$972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  <c:pt idx="5">
                        <c:v>266905694.06603605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Table'!$BU$962:$BU$966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Table'!$AS$967:$AT$972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Table'!$BU$967:$BU$971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Table'!$BV$962:$BV$966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Table'!$AS$967:$AT$972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Table'!$BV$967:$BV$971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0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871</xdr:row>
      <xdr:rowOff>99060</xdr:rowOff>
    </xdr:from>
    <xdr:to>
      <xdr:col>22</xdr:col>
      <xdr:colOff>312420</xdr:colOff>
      <xdr:row>872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871</xdr:row>
      <xdr:rowOff>129540</xdr:rowOff>
    </xdr:from>
    <xdr:to>
      <xdr:col>23</xdr:col>
      <xdr:colOff>68580</xdr:colOff>
      <xdr:row>872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889</xdr:row>
      <xdr:rowOff>125730</xdr:rowOff>
    </xdr:from>
    <xdr:to>
      <xdr:col>54</xdr:col>
      <xdr:colOff>213360</xdr:colOff>
      <xdr:row>904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762000</xdr:colOff>
      <xdr:row>979</xdr:row>
      <xdr:rowOff>91440</xdr:rowOff>
    </xdr:from>
    <xdr:to>
      <xdr:col>76</xdr:col>
      <xdr:colOff>472440</xdr:colOff>
      <xdr:row>1002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495</xdr:row>
      <xdr:rowOff>0</xdr:rowOff>
    </xdr:from>
    <xdr:to>
      <xdr:col>71</xdr:col>
      <xdr:colOff>83820</xdr:colOff>
      <xdr:row>495</xdr:row>
      <xdr:rowOff>114300</xdr:rowOff>
    </xdr:to>
    <xdr:sp macro="" textlink="">
      <xdr:nvSpPr>
        <xdr:cNvPr id="3767" name="Arrow: Down 3766">
          <a:extLst>
            <a:ext uri="{FF2B5EF4-FFF2-40B4-BE49-F238E27FC236}">
              <a16:creationId xmlns:a16="http://schemas.microsoft.com/office/drawing/2014/main" id="{75C5D6C2-B5D6-436A-ABB4-A2CDE30A6C59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495</xdr:row>
      <xdr:rowOff>0</xdr:rowOff>
    </xdr:from>
    <xdr:to>
      <xdr:col>39</xdr:col>
      <xdr:colOff>83820</xdr:colOff>
      <xdr:row>495</xdr:row>
      <xdr:rowOff>114300</xdr:rowOff>
    </xdr:to>
    <xdr:sp macro="" textlink="">
      <xdr:nvSpPr>
        <xdr:cNvPr id="3768" name="Arrow: Down 3767">
          <a:extLst>
            <a:ext uri="{FF2B5EF4-FFF2-40B4-BE49-F238E27FC236}">
              <a16:creationId xmlns:a16="http://schemas.microsoft.com/office/drawing/2014/main" id="{DB1C7CC1-56C4-4BBE-9EC7-B1997B3A8140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495</xdr:row>
      <xdr:rowOff>0</xdr:rowOff>
    </xdr:from>
    <xdr:to>
      <xdr:col>45</xdr:col>
      <xdr:colOff>83820</xdr:colOff>
      <xdr:row>495</xdr:row>
      <xdr:rowOff>114300</xdr:rowOff>
    </xdr:to>
    <xdr:sp macro="" textlink="">
      <xdr:nvSpPr>
        <xdr:cNvPr id="3769" name="Arrow: Down 3768">
          <a:extLst>
            <a:ext uri="{FF2B5EF4-FFF2-40B4-BE49-F238E27FC236}">
              <a16:creationId xmlns:a16="http://schemas.microsoft.com/office/drawing/2014/main" id="{C1B2CE0C-EB42-449C-AB20-BC67CB122858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495</xdr:row>
      <xdr:rowOff>0</xdr:rowOff>
    </xdr:from>
    <xdr:to>
      <xdr:col>60</xdr:col>
      <xdr:colOff>83820</xdr:colOff>
      <xdr:row>495</xdr:row>
      <xdr:rowOff>114300</xdr:rowOff>
    </xdr:to>
    <xdr:sp macro="" textlink="">
      <xdr:nvSpPr>
        <xdr:cNvPr id="3770" name="Arrow: Down 3769">
          <a:extLst>
            <a:ext uri="{FF2B5EF4-FFF2-40B4-BE49-F238E27FC236}">
              <a16:creationId xmlns:a16="http://schemas.microsoft.com/office/drawing/2014/main" id="{503C4AA2-8A0D-4E33-B391-9591EB6E1612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497</xdr:row>
      <xdr:rowOff>0</xdr:rowOff>
    </xdr:from>
    <xdr:to>
      <xdr:col>39</xdr:col>
      <xdr:colOff>83820</xdr:colOff>
      <xdr:row>497</xdr:row>
      <xdr:rowOff>114300</xdr:rowOff>
    </xdr:to>
    <xdr:sp macro="" textlink="">
      <xdr:nvSpPr>
        <xdr:cNvPr id="3782" name="Arrow: Down 3781">
          <a:extLst>
            <a:ext uri="{FF2B5EF4-FFF2-40B4-BE49-F238E27FC236}">
              <a16:creationId xmlns:a16="http://schemas.microsoft.com/office/drawing/2014/main" id="{32FDA1A9-B2CD-4084-ACBF-6114F13AE479}"/>
            </a:ext>
          </a:extLst>
        </xdr:cNvPr>
        <xdr:cNvSpPr/>
      </xdr:nvSpPr>
      <xdr:spPr>
        <a:xfrm rot="10800000">
          <a:off x="11544300" y="9080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495</xdr:row>
      <xdr:rowOff>0</xdr:rowOff>
    </xdr:from>
    <xdr:to>
      <xdr:col>5</xdr:col>
      <xdr:colOff>83820</xdr:colOff>
      <xdr:row>495</xdr:row>
      <xdr:rowOff>114300</xdr:rowOff>
    </xdr:to>
    <xdr:sp macro="" textlink="">
      <xdr:nvSpPr>
        <xdr:cNvPr id="3785" name="Arrow: Down 3784">
          <a:extLst>
            <a:ext uri="{FF2B5EF4-FFF2-40B4-BE49-F238E27FC236}">
              <a16:creationId xmlns:a16="http://schemas.microsoft.com/office/drawing/2014/main" id="{5D1B9FAE-2372-4990-AC25-95DAAEA89B74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495</xdr:row>
      <xdr:rowOff>0</xdr:rowOff>
    </xdr:from>
    <xdr:to>
      <xdr:col>11</xdr:col>
      <xdr:colOff>83820</xdr:colOff>
      <xdr:row>495</xdr:row>
      <xdr:rowOff>114300</xdr:rowOff>
    </xdr:to>
    <xdr:sp macro="" textlink="">
      <xdr:nvSpPr>
        <xdr:cNvPr id="3787" name="Arrow: Down 3786">
          <a:extLst>
            <a:ext uri="{FF2B5EF4-FFF2-40B4-BE49-F238E27FC236}">
              <a16:creationId xmlns:a16="http://schemas.microsoft.com/office/drawing/2014/main" id="{56B1C970-96C0-48EE-AC54-2ECC0200759F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83820</xdr:colOff>
      <xdr:row>496</xdr:row>
      <xdr:rowOff>114300</xdr:rowOff>
    </xdr:to>
    <xdr:sp macro="" textlink="">
      <xdr:nvSpPr>
        <xdr:cNvPr id="3788" name="Arrow: Down 3787">
          <a:extLst>
            <a:ext uri="{FF2B5EF4-FFF2-40B4-BE49-F238E27FC236}">
              <a16:creationId xmlns:a16="http://schemas.microsoft.com/office/drawing/2014/main" id="{4635D51E-91AC-4DF5-8A27-A032ECBB5DA3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496</xdr:row>
      <xdr:rowOff>0</xdr:rowOff>
    </xdr:from>
    <xdr:to>
      <xdr:col>11</xdr:col>
      <xdr:colOff>83820</xdr:colOff>
      <xdr:row>496</xdr:row>
      <xdr:rowOff>114300</xdr:rowOff>
    </xdr:to>
    <xdr:sp macro="" textlink="">
      <xdr:nvSpPr>
        <xdr:cNvPr id="3789" name="Arrow: Down 3788">
          <a:extLst>
            <a:ext uri="{FF2B5EF4-FFF2-40B4-BE49-F238E27FC236}">
              <a16:creationId xmlns:a16="http://schemas.microsoft.com/office/drawing/2014/main" id="{2F5FE8DF-3184-4B4D-958B-C3F05411DCA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497</xdr:row>
      <xdr:rowOff>0</xdr:rowOff>
    </xdr:from>
    <xdr:to>
      <xdr:col>5</xdr:col>
      <xdr:colOff>83820</xdr:colOff>
      <xdr:row>497</xdr:row>
      <xdr:rowOff>114300</xdr:rowOff>
    </xdr:to>
    <xdr:sp macro="" textlink="">
      <xdr:nvSpPr>
        <xdr:cNvPr id="3790" name="Arrow: Down 3789">
          <a:extLst>
            <a:ext uri="{FF2B5EF4-FFF2-40B4-BE49-F238E27FC236}">
              <a16:creationId xmlns:a16="http://schemas.microsoft.com/office/drawing/2014/main" id="{56D9E1A8-4E99-4AD0-82B6-246E52930E6E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497</xdr:row>
      <xdr:rowOff>0</xdr:rowOff>
    </xdr:from>
    <xdr:to>
      <xdr:col>11</xdr:col>
      <xdr:colOff>83820</xdr:colOff>
      <xdr:row>497</xdr:row>
      <xdr:rowOff>114300</xdr:rowOff>
    </xdr:to>
    <xdr:sp macro="" textlink="">
      <xdr:nvSpPr>
        <xdr:cNvPr id="3792" name="Arrow: Down 3791">
          <a:extLst>
            <a:ext uri="{FF2B5EF4-FFF2-40B4-BE49-F238E27FC236}">
              <a16:creationId xmlns:a16="http://schemas.microsoft.com/office/drawing/2014/main" id="{D2215BB8-382E-4A6D-9DA0-AB77743FA296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495</xdr:row>
      <xdr:rowOff>0</xdr:rowOff>
    </xdr:from>
    <xdr:to>
      <xdr:col>24</xdr:col>
      <xdr:colOff>83820</xdr:colOff>
      <xdr:row>495</xdr:row>
      <xdr:rowOff>114300</xdr:rowOff>
    </xdr:to>
    <xdr:sp macro="" textlink="">
      <xdr:nvSpPr>
        <xdr:cNvPr id="3793" name="Arrow: Down 3792">
          <a:extLst>
            <a:ext uri="{FF2B5EF4-FFF2-40B4-BE49-F238E27FC236}">
              <a16:creationId xmlns:a16="http://schemas.microsoft.com/office/drawing/2014/main" id="{4222F034-99FA-4BAA-B281-35753F99B236}"/>
            </a:ext>
          </a:extLst>
        </xdr:cNvPr>
        <xdr:cNvSpPr/>
      </xdr:nvSpPr>
      <xdr:spPr>
        <a:xfrm rot="10800000">
          <a:off x="833628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496</xdr:row>
      <xdr:rowOff>0</xdr:rowOff>
    </xdr:from>
    <xdr:to>
      <xdr:col>24</xdr:col>
      <xdr:colOff>83820</xdr:colOff>
      <xdr:row>496</xdr:row>
      <xdr:rowOff>114300</xdr:rowOff>
    </xdr:to>
    <xdr:sp macro="" textlink="">
      <xdr:nvSpPr>
        <xdr:cNvPr id="3794" name="Arrow: Down 3793">
          <a:extLst>
            <a:ext uri="{FF2B5EF4-FFF2-40B4-BE49-F238E27FC236}">
              <a16:creationId xmlns:a16="http://schemas.microsoft.com/office/drawing/2014/main" id="{94E0A9EE-96AB-4105-B922-4EDC20FD3209}"/>
            </a:ext>
          </a:extLst>
        </xdr:cNvPr>
        <xdr:cNvSpPr/>
      </xdr:nvSpPr>
      <xdr:spPr>
        <a:xfrm rot="10800000">
          <a:off x="83362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497</xdr:row>
      <xdr:rowOff>0</xdr:rowOff>
    </xdr:from>
    <xdr:to>
      <xdr:col>24</xdr:col>
      <xdr:colOff>83820</xdr:colOff>
      <xdr:row>497</xdr:row>
      <xdr:rowOff>114300</xdr:rowOff>
    </xdr:to>
    <xdr:sp macro="" textlink="">
      <xdr:nvSpPr>
        <xdr:cNvPr id="3795" name="Arrow: Down 3794">
          <a:extLst>
            <a:ext uri="{FF2B5EF4-FFF2-40B4-BE49-F238E27FC236}">
              <a16:creationId xmlns:a16="http://schemas.microsoft.com/office/drawing/2014/main" id="{49A262E3-35D0-44BD-9856-212C17DD66B5}"/>
            </a:ext>
          </a:extLst>
        </xdr:cNvPr>
        <xdr:cNvSpPr/>
      </xdr:nvSpPr>
      <xdr:spPr>
        <a:xfrm rot="10800000">
          <a:off x="83362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496</xdr:row>
      <xdr:rowOff>0</xdr:rowOff>
    </xdr:from>
    <xdr:to>
      <xdr:col>39</xdr:col>
      <xdr:colOff>83820</xdr:colOff>
      <xdr:row>496</xdr:row>
      <xdr:rowOff>114300</xdr:rowOff>
    </xdr:to>
    <xdr:sp macro="" textlink="">
      <xdr:nvSpPr>
        <xdr:cNvPr id="3796" name="Arrow: Down 3795">
          <a:extLst>
            <a:ext uri="{FF2B5EF4-FFF2-40B4-BE49-F238E27FC236}">
              <a16:creationId xmlns:a16="http://schemas.microsoft.com/office/drawing/2014/main" id="{59B9CE03-5BE9-4D51-8E72-2122D8DBA095}"/>
            </a:ext>
          </a:extLst>
        </xdr:cNvPr>
        <xdr:cNvSpPr/>
      </xdr:nvSpPr>
      <xdr:spPr>
        <a:xfrm>
          <a:off x="115443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97" name="Arrow: Down 3796">
          <a:extLst>
            <a:ext uri="{FF2B5EF4-FFF2-40B4-BE49-F238E27FC236}">
              <a16:creationId xmlns:a16="http://schemas.microsoft.com/office/drawing/2014/main" id="{2FBCA5DA-92F5-4CD0-9ECD-AB25CFF6A181}"/>
            </a:ext>
          </a:extLst>
        </xdr:cNvPr>
        <xdr:cNvSpPr/>
      </xdr:nvSpPr>
      <xdr:spPr>
        <a:xfrm>
          <a:off x="13403580" y="9044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496</xdr:row>
      <xdr:rowOff>0</xdr:rowOff>
    </xdr:from>
    <xdr:to>
      <xdr:col>45</xdr:col>
      <xdr:colOff>83820</xdr:colOff>
      <xdr:row>496</xdr:row>
      <xdr:rowOff>114300</xdr:rowOff>
    </xdr:to>
    <xdr:sp macro="" textlink="">
      <xdr:nvSpPr>
        <xdr:cNvPr id="3798" name="Arrow: Down 3797">
          <a:extLst>
            <a:ext uri="{FF2B5EF4-FFF2-40B4-BE49-F238E27FC236}">
              <a16:creationId xmlns:a16="http://schemas.microsoft.com/office/drawing/2014/main" id="{25612134-8DFF-447B-87D6-702CD05FFAD9}"/>
            </a:ext>
          </a:extLst>
        </xdr:cNvPr>
        <xdr:cNvSpPr/>
      </xdr:nvSpPr>
      <xdr:spPr>
        <a:xfrm>
          <a:off x="134035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497</xdr:row>
      <xdr:rowOff>0</xdr:rowOff>
    </xdr:from>
    <xdr:to>
      <xdr:col>45</xdr:col>
      <xdr:colOff>83820</xdr:colOff>
      <xdr:row>497</xdr:row>
      <xdr:rowOff>114300</xdr:rowOff>
    </xdr:to>
    <xdr:sp macro="" textlink="">
      <xdr:nvSpPr>
        <xdr:cNvPr id="3799" name="Arrow: Down 3798">
          <a:extLst>
            <a:ext uri="{FF2B5EF4-FFF2-40B4-BE49-F238E27FC236}">
              <a16:creationId xmlns:a16="http://schemas.microsoft.com/office/drawing/2014/main" id="{560DB7B4-E8C7-450E-B36E-815A03BF1AF3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497</xdr:row>
      <xdr:rowOff>0</xdr:rowOff>
    </xdr:from>
    <xdr:to>
      <xdr:col>60</xdr:col>
      <xdr:colOff>83820</xdr:colOff>
      <xdr:row>497</xdr:row>
      <xdr:rowOff>114300</xdr:rowOff>
    </xdr:to>
    <xdr:sp macro="" textlink="">
      <xdr:nvSpPr>
        <xdr:cNvPr id="3800" name="Arrow: Down 3799">
          <a:extLst>
            <a:ext uri="{FF2B5EF4-FFF2-40B4-BE49-F238E27FC236}">
              <a16:creationId xmlns:a16="http://schemas.microsoft.com/office/drawing/2014/main" id="{DB8AC3EA-0086-44E3-B4D8-29A688133D85}"/>
            </a:ext>
          </a:extLst>
        </xdr:cNvPr>
        <xdr:cNvSpPr/>
      </xdr:nvSpPr>
      <xdr:spPr>
        <a:xfrm rot="10800000">
          <a:off x="190804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496</xdr:row>
      <xdr:rowOff>0</xdr:rowOff>
    </xdr:from>
    <xdr:to>
      <xdr:col>60</xdr:col>
      <xdr:colOff>83820</xdr:colOff>
      <xdr:row>496</xdr:row>
      <xdr:rowOff>114300</xdr:rowOff>
    </xdr:to>
    <xdr:sp macro="" textlink="">
      <xdr:nvSpPr>
        <xdr:cNvPr id="3802" name="Arrow: Down 3801">
          <a:extLst>
            <a:ext uri="{FF2B5EF4-FFF2-40B4-BE49-F238E27FC236}">
              <a16:creationId xmlns:a16="http://schemas.microsoft.com/office/drawing/2014/main" id="{5E4244D0-1815-4D8F-AA28-0055170FD68A}"/>
            </a:ext>
          </a:extLst>
        </xdr:cNvPr>
        <xdr:cNvSpPr/>
      </xdr:nvSpPr>
      <xdr:spPr>
        <a:xfrm rot="10800000">
          <a:off x="190804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497</xdr:row>
      <xdr:rowOff>0</xdr:rowOff>
    </xdr:from>
    <xdr:to>
      <xdr:col>71</xdr:col>
      <xdr:colOff>83820</xdr:colOff>
      <xdr:row>497</xdr:row>
      <xdr:rowOff>114300</xdr:rowOff>
    </xdr:to>
    <xdr:sp macro="" textlink="">
      <xdr:nvSpPr>
        <xdr:cNvPr id="3803" name="Arrow: Down 3802">
          <a:extLst>
            <a:ext uri="{FF2B5EF4-FFF2-40B4-BE49-F238E27FC236}">
              <a16:creationId xmlns:a16="http://schemas.microsoft.com/office/drawing/2014/main" id="{EAF8C33F-84B3-445D-BD71-31336D62A3E1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496</xdr:row>
      <xdr:rowOff>0</xdr:rowOff>
    </xdr:from>
    <xdr:to>
      <xdr:col>71</xdr:col>
      <xdr:colOff>83820</xdr:colOff>
      <xdr:row>496</xdr:row>
      <xdr:rowOff>114300</xdr:rowOff>
    </xdr:to>
    <xdr:sp macro="" textlink="">
      <xdr:nvSpPr>
        <xdr:cNvPr id="3805" name="Arrow: Down 3804">
          <a:extLst>
            <a:ext uri="{FF2B5EF4-FFF2-40B4-BE49-F238E27FC236}">
              <a16:creationId xmlns:a16="http://schemas.microsoft.com/office/drawing/2014/main" id="{ACB65F93-5B79-4758-85D8-E56768F249C4}"/>
            </a:ext>
          </a:extLst>
        </xdr:cNvPr>
        <xdr:cNvSpPr/>
      </xdr:nvSpPr>
      <xdr:spPr>
        <a:xfrm rot="10800000">
          <a:off x="216331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498</xdr:row>
      <xdr:rowOff>0</xdr:rowOff>
    </xdr:from>
    <xdr:to>
      <xdr:col>5</xdr:col>
      <xdr:colOff>83820</xdr:colOff>
      <xdr:row>498</xdr:row>
      <xdr:rowOff>114300</xdr:rowOff>
    </xdr:to>
    <xdr:sp macro="" textlink="">
      <xdr:nvSpPr>
        <xdr:cNvPr id="3807" name="Arrow: Down 3806">
          <a:extLst>
            <a:ext uri="{FF2B5EF4-FFF2-40B4-BE49-F238E27FC236}">
              <a16:creationId xmlns:a16="http://schemas.microsoft.com/office/drawing/2014/main" id="{A7C86C41-FD1A-4A66-A598-D918F0D2DBCA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498</xdr:row>
      <xdr:rowOff>0</xdr:rowOff>
    </xdr:from>
    <xdr:to>
      <xdr:col>11</xdr:col>
      <xdr:colOff>83820</xdr:colOff>
      <xdr:row>498</xdr:row>
      <xdr:rowOff>114300</xdr:rowOff>
    </xdr:to>
    <xdr:sp macro="" textlink="">
      <xdr:nvSpPr>
        <xdr:cNvPr id="3808" name="Arrow: Down 3807">
          <a:extLst>
            <a:ext uri="{FF2B5EF4-FFF2-40B4-BE49-F238E27FC236}">
              <a16:creationId xmlns:a16="http://schemas.microsoft.com/office/drawing/2014/main" id="{AAF2D148-60BD-4151-9534-458D2B97533C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498</xdr:row>
      <xdr:rowOff>0</xdr:rowOff>
    </xdr:from>
    <xdr:to>
      <xdr:col>45</xdr:col>
      <xdr:colOff>83820</xdr:colOff>
      <xdr:row>498</xdr:row>
      <xdr:rowOff>114300</xdr:rowOff>
    </xdr:to>
    <xdr:sp macro="" textlink="">
      <xdr:nvSpPr>
        <xdr:cNvPr id="3810" name="Arrow: Down 3809">
          <a:extLst>
            <a:ext uri="{FF2B5EF4-FFF2-40B4-BE49-F238E27FC236}">
              <a16:creationId xmlns:a16="http://schemas.microsoft.com/office/drawing/2014/main" id="{501541AB-7907-4D4F-ABD8-4659B2E4A6B4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498</xdr:row>
      <xdr:rowOff>0</xdr:rowOff>
    </xdr:from>
    <xdr:to>
      <xdr:col>71</xdr:col>
      <xdr:colOff>83820</xdr:colOff>
      <xdr:row>498</xdr:row>
      <xdr:rowOff>114300</xdr:rowOff>
    </xdr:to>
    <xdr:sp macro="" textlink="">
      <xdr:nvSpPr>
        <xdr:cNvPr id="3812" name="Arrow: Down 3811">
          <a:extLst>
            <a:ext uri="{FF2B5EF4-FFF2-40B4-BE49-F238E27FC236}">
              <a16:creationId xmlns:a16="http://schemas.microsoft.com/office/drawing/2014/main" id="{116C65F8-9AE8-43DE-9048-6955A539E7D6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498</xdr:row>
      <xdr:rowOff>0</xdr:rowOff>
    </xdr:from>
    <xdr:to>
      <xdr:col>24</xdr:col>
      <xdr:colOff>83820</xdr:colOff>
      <xdr:row>498</xdr:row>
      <xdr:rowOff>114300</xdr:rowOff>
    </xdr:to>
    <xdr:sp macro="" textlink="">
      <xdr:nvSpPr>
        <xdr:cNvPr id="3813" name="Arrow: Down 3812">
          <a:extLst>
            <a:ext uri="{FF2B5EF4-FFF2-40B4-BE49-F238E27FC236}">
              <a16:creationId xmlns:a16="http://schemas.microsoft.com/office/drawing/2014/main" id="{3842D30B-9C9B-4EE4-916B-829C56A8EA54}"/>
            </a:ext>
          </a:extLst>
        </xdr:cNvPr>
        <xdr:cNvSpPr/>
      </xdr:nvSpPr>
      <xdr:spPr>
        <a:xfrm>
          <a:off x="83362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498</xdr:row>
      <xdr:rowOff>0</xdr:rowOff>
    </xdr:from>
    <xdr:to>
      <xdr:col>39</xdr:col>
      <xdr:colOff>83820</xdr:colOff>
      <xdr:row>498</xdr:row>
      <xdr:rowOff>114300</xdr:rowOff>
    </xdr:to>
    <xdr:sp macro="" textlink="">
      <xdr:nvSpPr>
        <xdr:cNvPr id="3814" name="Arrow: Down 3813">
          <a:extLst>
            <a:ext uri="{FF2B5EF4-FFF2-40B4-BE49-F238E27FC236}">
              <a16:creationId xmlns:a16="http://schemas.microsoft.com/office/drawing/2014/main" id="{9DBB91CA-D593-433A-9423-24DCFF248D7B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498</xdr:row>
      <xdr:rowOff>0</xdr:rowOff>
    </xdr:from>
    <xdr:to>
      <xdr:col>60</xdr:col>
      <xdr:colOff>83820</xdr:colOff>
      <xdr:row>498</xdr:row>
      <xdr:rowOff>114300</xdr:rowOff>
    </xdr:to>
    <xdr:sp macro="" textlink="">
      <xdr:nvSpPr>
        <xdr:cNvPr id="3816" name="Arrow: Down 3815">
          <a:extLst>
            <a:ext uri="{FF2B5EF4-FFF2-40B4-BE49-F238E27FC236}">
              <a16:creationId xmlns:a16="http://schemas.microsoft.com/office/drawing/2014/main" id="{71E2B152-BD33-480C-9ED4-725707443FF8}"/>
            </a:ext>
          </a:extLst>
        </xdr:cNvPr>
        <xdr:cNvSpPr/>
      </xdr:nvSpPr>
      <xdr:spPr>
        <a:xfrm>
          <a:off x="190804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499</xdr:row>
      <xdr:rowOff>0</xdr:rowOff>
    </xdr:from>
    <xdr:to>
      <xdr:col>5</xdr:col>
      <xdr:colOff>83820</xdr:colOff>
      <xdr:row>499</xdr:row>
      <xdr:rowOff>114300</xdr:rowOff>
    </xdr:to>
    <xdr:sp macro="" textlink="">
      <xdr:nvSpPr>
        <xdr:cNvPr id="3824" name="Arrow: Down 3823">
          <a:extLst>
            <a:ext uri="{FF2B5EF4-FFF2-40B4-BE49-F238E27FC236}">
              <a16:creationId xmlns:a16="http://schemas.microsoft.com/office/drawing/2014/main" id="{A7D24ECF-49BC-4E7D-9AED-2C783C4DB717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499</xdr:row>
      <xdr:rowOff>0</xdr:rowOff>
    </xdr:from>
    <xdr:to>
      <xdr:col>11</xdr:col>
      <xdr:colOff>83820</xdr:colOff>
      <xdr:row>499</xdr:row>
      <xdr:rowOff>114300</xdr:rowOff>
    </xdr:to>
    <xdr:sp macro="" textlink="">
      <xdr:nvSpPr>
        <xdr:cNvPr id="3825" name="Arrow: Down 3824">
          <a:extLst>
            <a:ext uri="{FF2B5EF4-FFF2-40B4-BE49-F238E27FC236}">
              <a16:creationId xmlns:a16="http://schemas.microsoft.com/office/drawing/2014/main" id="{9BC93DA8-F14E-4909-925C-A21BB503278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499</xdr:row>
      <xdr:rowOff>0</xdr:rowOff>
    </xdr:from>
    <xdr:to>
      <xdr:col>45</xdr:col>
      <xdr:colOff>83820</xdr:colOff>
      <xdr:row>499</xdr:row>
      <xdr:rowOff>114300</xdr:rowOff>
    </xdr:to>
    <xdr:sp macro="" textlink="">
      <xdr:nvSpPr>
        <xdr:cNvPr id="3826" name="Arrow: Down 3825">
          <a:extLst>
            <a:ext uri="{FF2B5EF4-FFF2-40B4-BE49-F238E27FC236}">
              <a16:creationId xmlns:a16="http://schemas.microsoft.com/office/drawing/2014/main" id="{6A389DDA-DC21-4A16-9374-7F7696EDA8DF}"/>
            </a:ext>
          </a:extLst>
        </xdr:cNvPr>
        <xdr:cNvSpPr/>
      </xdr:nvSpPr>
      <xdr:spPr>
        <a:xfrm>
          <a:off x="134035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499</xdr:row>
      <xdr:rowOff>0</xdr:rowOff>
    </xdr:from>
    <xdr:to>
      <xdr:col>71</xdr:col>
      <xdr:colOff>83820</xdr:colOff>
      <xdr:row>499</xdr:row>
      <xdr:rowOff>114300</xdr:rowOff>
    </xdr:to>
    <xdr:sp macro="" textlink="">
      <xdr:nvSpPr>
        <xdr:cNvPr id="3827" name="Arrow: Down 3826">
          <a:extLst>
            <a:ext uri="{FF2B5EF4-FFF2-40B4-BE49-F238E27FC236}">
              <a16:creationId xmlns:a16="http://schemas.microsoft.com/office/drawing/2014/main" id="{B3CF9090-1FB7-4B31-B183-19280EED6809}"/>
            </a:ext>
          </a:extLst>
        </xdr:cNvPr>
        <xdr:cNvSpPr/>
      </xdr:nvSpPr>
      <xdr:spPr>
        <a:xfrm rot="10800000">
          <a:off x="216331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499</xdr:row>
      <xdr:rowOff>0</xdr:rowOff>
    </xdr:from>
    <xdr:to>
      <xdr:col>39</xdr:col>
      <xdr:colOff>83820</xdr:colOff>
      <xdr:row>499</xdr:row>
      <xdr:rowOff>114300</xdr:rowOff>
    </xdr:to>
    <xdr:sp macro="" textlink="">
      <xdr:nvSpPr>
        <xdr:cNvPr id="3829" name="Arrow: Down 3828">
          <a:extLst>
            <a:ext uri="{FF2B5EF4-FFF2-40B4-BE49-F238E27FC236}">
              <a16:creationId xmlns:a16="http://schemas.microsoft.com/office/drawing/2014/main" id="{4B9C42C8-F184-4DFC-944D-28EF9E2CA80E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499</xdr:row>
      <xdr:rowOff>0</xdr:rowOff>
    </xdr:from>
    <xdr:to>
      <xdr:col>60</xdr:col>
      <xdr:colOff>83820</xdr:colOff>
      <xdr:row>499</xdr:row>
      <xdr:rowOff>114300</xdr:rowOff>
    </xdr:to>
    <xdr:sp macro="" textlink="">
      <xdr:nvSpPr>
        <xdr:cNvPr id="3831" name="Arrow: Down 3830">
          <a:extLst>
            <a:ext uri="{FF2B5EF4-FFF2-40B4-BE49-F238E27FC236}">
              <a16:creationId xmlns:a16="http://schemas.microsoft.com/office/drawing/2014/main" id="{B99FAB53-5BF7-409E-AB6E-989EE34344B4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499</xdr:row>
      <xdr:rowOff>0</xdr:rowOff>
    </xdr:from>
    <xdr:to>
      <xdr:col>24</xdr:col>
      <xdr:colOff>83820</xdr:colOff>
      <xdr:row>499</xdr:row>
      <xdr:rowOff>114300</xdr:rowOff>
    </xdr:to>
    <xdr:sp macro="" textlink="">
      <xdr:nvSpPr>
        <xdr:cNvPr id="3832" name="Arrow: Down 3831">
          <a:extLst>
            <a:ext uri="{FF2B5EF4-FFF2-40B4-BE49-F238E27FC236}">
              <a16:creationId xmlns:a16="http://schemas.microsoft.com/office/drawing/2014/main" id="{D6841296-448E-4D46-8B38-9CA268669629}"/>
            </a:ext>
          </a:extLst>
        </xdr:cNvPr>
        <xdr:cNvSpPr/>
      </xdr:nvSpPr>
      <xdr:spPr>
        <a:xfrm rot="10800000">
          <a:off x="83362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500</xdr:row>
      <xdr:rowOff>0</xdr:rowOff>
    </xdr:from>
    <xdr:to>
      <xdr:col>71</xdr:col>
      <xdr:colOff>83820</xdr:colOff>
      <xdr:row>500</xdr:row>
      <xdr:rowOff>114300</xdr:rowOff>
    </xdr:to>
    <xdr:sp macro="" textlink="">
      <xdr:nvSpPr>
        <xdr:cNvPr id="3836" name="Arrow: Down 3835">
          <a:extLst>
            <a:ext uri="{FF2B5EF4-FFF2-40B4-BE49-F238E27FC236}">
              <a16:creationId xmlns:a16="http://schemas.microsoft.com/office/drawing/2014/main" id="{0CC49CF4-3737-400C-8FB2-DBCED7EFAD1A}"/>
            </a:ext>
          </a:extLst>
        </xdr:cNvPr>
        <xdr:cNvSpPr/>
      </xdr:nvSpPr>
      <xdr:spPr>
        <a:xfrm rot="10800000">
          <a:off x="216331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500</xdr:row>
      <xdr:rowOff>0</xdr:rowOff>
    </xdr:from>
    <xdr:to>
      <xdr:col>39</xdr:col>
      <xdr:colOff>83820</xdr:colOff>
      <xdr:row>500</xdr:row>
      <xdr:rowOff>114300</xdr:rowOff>
    </xdr:to>
    <xdr:sp macro="" textlink="">
      <xdr:nvSpPr>
        <xdr:cNvPr id="3837" name="Arrow: Down 3836">
          <a:extLst>
            <a:ext uri="{FF2B5EF4-FFF2-40B4-BE49-F238E27FC236}">
              <a16:creationId xmlns:a16="http://schemas.microsoft.com/office/drawing/2014/main" id="{BA97A1F6-532F-4978-B0FA-FF4D4402DDC5}"/>
            </a:ext>
          </a:extLst>
        </xdr:cNvPr>
        <xdr:cNvSpPr/>
      </xdr:nvSpPr>
      <xdr:spPr>
        <a:xfrm>
          <a:off x="115443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500</xdr:row>
      <xdr:rowOff>0</xdr:rowOff>
    </xdr:from>
    <xdr:to>
      <xdr:col>60</xdr:col>
      <xdr:colOff>83820</xdr:colOff>
      <xdr:row>500</xdr:row>
      <xdr:rowOff>114300</xdr:rowOff>
    </xdr:to>
    <xdr:sp macro="" textlink="">
      <xdr:nvSpPr>
        <xdr:cNvPr id="3838" name="Arrow: Down 3837">
          <a:extLst>
            <a:ext uri="{FF2B5EF4-FFF2-40B4-BE49-F238E27FC236}">
              <a16:creationId xmlns:a16="http://schemas.microsoft.com/office/drawing/2014/main" id="{C78B6A2D-4E74-4965-B7BB-6DBAAA18FEE0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500</xdr:row>
      <xdr:rowOff>0</xdr:rowOff>
    </xdr:from>
    <xdr:to>
      <xdr:col>24</xdr:col>
      <xdr:colOff>83820</xdr:colOff>
      <xdr:row>500</xdr:row>
      <xdr:rowOff>114300</xdr:rowOff>
    </xdr:to>
    <xdr:sp macro="" textlink="">
      <xdr:nvSpPr>
        <xdr:cNvPr id="3840" name="Arrow: Down 3839">
          <a:extLst>
            <a:ext uri="{FF2B5EF4-FFF2-40B4-BE49-F238E27FC236}">
              <a16:creationId xmlns:a16="http://schemas.microsoft.com/office/drawing/2014/main" id="{065F812B-94E1-4FF8-9720-589F25FD84DD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500</xdr:row>
      <xdr:rowOff>0</xdr:rowOff>
    </xdr:from>
    <xdr:to>
      <xdr:col>11</xdr:col>
      <xdr:colOff>83820</xdr:colOff>
      <xdr:row>500</xdr:row>
      <xdr:rowOff>114300</xdr:rowOff>
    </xdr:to>
    <xdr:sp macro="" textlink="">
      <xdr:nvSpPr>
        <xdr:cNvPr id="3841" name="Arrow: Down 3840">
          <a:extLst>
            <a:ext uri="{FF2B5EF4-FFF2-40B4-BE49-F238E27FC236}">
              <a16:creationId xmlns:a16="http://schemas.microsoft.com/office/drawing/2014/main" id="{A73359F2-16E8-40E3-86A4-BCFF82EA25E9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500</xdr:row>
      <xdr:rowOff>0</xdr:rowOff>
    </xdr:from>
    <xdr:to>
      <xdr:col>5</xdr:col>
      <xdr:colOff>83820</xdr:colOff>
      <xdr:row>500</xdr:row>
      <xdr:rowOff>114300</xdr:rowOff>
    </xdr:to>
    <xdr:sp macro="" textlink="">
      <xdr:nvSpPr>
        <xdr:cNvPr id="3843" name="Arrow: Down 3842">
          <a:extLst>
            <a:ext uri="{FF2B5EF4-FFF2-40B4-BE49-F238E27FC236}">
              <a16:creationId xmlns:a16="http://schemas.microsoft.com/office/drawing/2014/main" id="{07647007-B587-4FF0-B402-7FEA962A89C1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501</xdr:row>
      <xdr:rowOff>0</xdr:rowOff>
    </xdr:from>
    <xdr:to>
      <xdr:col>39</xdr:col>
      <xdr:colOff>83820</xdr:colOff>
      <xdr:row>501</xdr:row>
      <xdr:rowOff>114300</xdr:rowOff>
    </xdr:to>
    <xdr:sp macro="" textlink="">
      <xdr:nvSpPr>
        <xdr:cNvPr id="3846" name="Arrow: Down 3845">
          <a:extLst>
            <a:ext uri="{FF2B5EF4-FFF2-40B4-BE49-F238E27FC236}">
              <a16:creationId xmlns:a16="http://schemas.microsoft.com/office/drawing/2014/main" id="{0C86E9AD-BB67-4F3F-9821-7076D25B41FB}"/>
            </a:ext>
          </a:extLst>
        </xdr:cNvPr>
        <xdr:cNvSpPr/>
      </xdr:nvSpPr>
      <xdr:spPr>
        <a:xfrm>
          <a:off x="11544300" y="915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501</xdr:row>
      <xdr:rowOff>0</xdr:rowOff>
    </xdr:from>
    <xdr:to>
      <xdr:col>24</xdr:col>
      <xdr:colOff>83820</xdr:colOff>
      <xdr:row>501</xdr:row>
      <xdr:rowOff>114300</xdr:rowOff>
    </xdr:to>
    <xdr:sp macro="" textlink="">
      <xdr:nvSpPr>
        <xdr:cNvPr id="3848" name="Arrow: Down 3847">
          <a:extLst>
            <a:ext uri="{FF2B5EF4-FFF2-40B4-BE49-F238E27FC236}">
              <a16:creationId xmlns:a16="http://schemas.microsoft.com/office/drawing/2014/main" id="{7E7C2D16-1FB7-44B2-B8FA-F262CD4396FC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501</xdr:row>
      <xdr:rowOff>0</xdr:rowOff>
    </xdr:from>
    <xdr:to>
      <xdr:col>11</xdr:col>
      <xdr:colOff>83820</xdr:colOff>
      <xdr:row>501</xdr:row>
      <xdr:rowOff>114300</xdr:rowOff>
    </xdr:to>
    <xdr:sp macro="" textlink="">
      <xdr:nvSpPr>
        <xdr:cNvPr id="3849" name="Arrow: Down 3848">
          <a:extLst>
            <a:ext uri="{FF2B5EF4-FFF2-40B4-BE49-F238E27FC236}">
              <a16:creationId xmlns:a16="http://schemas.microsoft.com/office/drawing/2014/main" id="{CFE33308-290B-40BD-92D0-B2C6840AFD27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501</xdr:row>
      <xdr:rowOff>0</xdr:rowOff>
    </xdr:from>
    <xdr:to>
      <xdr:col>5</xdr:col>
      <xdr:colOff>83820</xdr:colOff>
      <xdr:row>501</xdr:row>
      <xdr:rowOff>114300</xdr:rowOff>
    </xdr:to>
    <xdr:sp macro="" textlink="">
      <xdr:nvSpPr>
        <xdr:cNvPr id="3850" name="Arrow: Down 3849">
          <a:extLst>
            <a:ext uri="{FF2B5EF4-FFF2-40B4-BE49-F238E27FC236}">
              <a16:creationId xmlns:a16="http://schemas.microsoft.com/office/drawing/2014/main" id="{83926C1E-672A-4C8C-B33D-BE85A434F9D4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500</xdr:row>
      <xdr:rowOff>0</xdr:rowOff>
    </xdr:from>
    <xdr:to>
      <xdr:col>45</xdr:col>
      <xdr:colOff>83820</xdr:colOff>
      <xdr:row>500</xdr:row>
      <xdr:rowOff>114300</xdr:rowOff>
    </xdr:to>
    <xdr:sp macro="" textlink="">
      <xdr:nvSpPr>
        <xdr:cNvPr id="3851" name="Arrow: Down 3850">
          <a:extLst>
            <a:ext uri="{FF2B5EF4-FFF2-40B4-BE49-F238E27FC236}">
              <a16:creationId xmlns:a16="http://schemas.microsoft.com/office/drawing/2014/main" id="{118523EF-8EBF-48C1-BF51-1F7A5FC8EDBA}"/>
            </a:ext>
          </a:extLst>
        </xdr:cNvPr>
        <xdr:cNvSpPr/>
      </xdr:nvSpPr>
      <xdr:spPr>
        <a:xfrm rot="10800000">
          <a:off x="134035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501</xdr:row>
      <xdr:rowOff>0</xdr:rowOff>
    </xdr:from>
    <xdr:to>
      <xdr:col>60</xdr:col>
      <xdr:colOff>83820</xdr:colOff>
      <xdr:row>501</xdr:row>
      <xdr:rowOff>114300</xdr:rowOff>
    </xdr:to>
    <xdr:sp macro="" textlink="">
      <xdr:nvSpPr>
        <xdr:cNvPr id="3854" name="Arrow: Down 3853">
          <a:extLst>
            <a:ext uri="{FF2B5EF4-FFF2-40B4-BE49-F238E27FC236}">
              <a16:creationId xmlns:a16="http://schemas.microsoft.com/office/drawing/2014/main" id="{257939EC-B358-4A9B-8A55-44DADBFE760A}"/>
            </a:ext>
          </a:extLst>
        </xdr:cNvPr>
        <xdr:cNvSpPr/>
      </xdr:nvSpPr>
      <xdr:spPr>
        <a:xfrm>
          <a:off x="190804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501</xdr:row>
      <xdr:rowOff>0</xdr:rowOff>
    </xdr:from>
    <xdr:to>
      <xdr:col>71</xdr:col>
      <xdr:colOff>83820</xdr:colOff>
      <xdr:row>501</xdr:row>
      <xdr:rowOff>114300</xdr:rowOff>
    </xdr:to>
    <xdr:sp macro="" textlink="">
      <xdr:nvSpPr>
        <xdr:cNvPr id="3855" name="Arrow: Down 3854">
          <a:extLst>
            <a:ext uri="{FF2B5EF4-FFF2-40B4-BE49-F238E27FC236}">
              <a16:creationId xmlns:a16="http://schemas.microsoft.com/office/drawing/2014/main" id="{60ECAE3C-BCF3-4589-AA5D-9D42C711B461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501</xdr:row>
      <xdr:rowOff>0</xdr:rowOff>
    </xdr:from>
    <xdr:to>
      <xdr:col>45</xdr:col>
      <xdr:colOff>83820</xdr:colOff>
      <xdr:row>501</xdr:row>
      <xdr:rowOff>114300</xdr:rowOff>
    </xdr:to>
    <xdr:sp macro="" textlink="">
      <xdr:nvSpPr>
        <xdr:cNvPr id="3857" name="Arrow: Down 3856">
          <a:extLst>
            <a:ext uri="{FF2B5EF4-FFF2-40B4-BE49-F238E27FC236}">
              <a16:creationId xmlns:a16="http://schemas.microsoft.com/office/drawing/2014/main" id="{3C889A9E-4D4D-4434-980D-C9561D8B2771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502</xdr:row>
      <xdr:rowOff>0</xdr:rowOff>
    </xdr:from>
    <xdr:to>
      <xdr:col>71</xdr:col>
      <xdr:colOff>83820</xdr:colOff>
      <xdr:row>502</xdr:row>
      <xdr:rowOff>114300</xdr:rowOff>
    </xdr:to>
    <xdr:sp macro="" textlink="">
      <xdr:nvSpPr>
        <xdr:cNvPr id="3863" name="Arrow: Down 3862">
          <a:extLst>
            <a:ext uri="{FF2B5EF4-FFF2-40B4-BE49-F238E27FC236}">
              <a16:creationId xmlns:a16="http://schemas.microsoft.com/office/drawing/2014/main" id="{8C5BDFD9-FCF8-4AF2-B6FE-40BEA0A7DC5E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502</xdr:row>
      <xdr:rowOff>0</xdr:rowOff>
    </xdr:from>
    <xdr:to>
      <xdr:col>45</xdr:col>
      <xdr:colOff>83820</xdr:colOff>
      <xdr:row>502</xdr:row>
      <xdr:rowOff>114300</xdr:rowOff>
    </xdr:to>
    <xdr:sp macro="" textlink="">
      <xdr:nvSpPr>
        <xdr:cNvPr id="3864" name="Arrow: Down 3863">
          <a:extLst>
            <a:ext uri="{FF2B5EF4-FFF2-40B4-BE49-F238E27FC236}">
              <a16:creationId xmlns:a16="http://schemas.microsoft.com/office/drawing/2014/main" id="{3C701EC4-13D4-4F81-B0A6-00C6FEB0A45F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502</xdr:row>
      <xdr:rowOff>0</xdr:rowOff>
    </xdr:from>
    <xdr:to>
      <xdr:col>60</xdr:col>
      <xdr:colOff>83820</xdr:colOff>
      <xdr:row>502</xdr:row>
      <xdr:rowOff>114300</xdr:rowOff>
    </xdr:to>
    <xdr:sp macro="" textlink="">
      <xdr:nvSpPr>
        <xdr:cNvPr id="3866" name="Arrow: Down 3865">
          <a:extLst>
            <a:ext uri="{FF2B5EF4-FFF2-40B4-BE49-F238E27FC236}">
              <a16:creationId xmlns:a16="http://schemas.microsoft.com/office/drawing/2014/main" id="{CE646AAC-C477-42FC-9698-567DA1D2C1FE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502</xdr:row>
      <xdr:rowOff>0</xdr:rowOff>
    </xdr:from>
    <xdr:to>
      <xdr:col>39</xdr:col>
      <xdr:colOff>83820</xdr:colOff>
      <xdr:row>502</xdr:row>
      <xdr:rowOff>114300</xdr:rowOff>
    </xdr:to>
    <xdr:sp macro="" textlink="">
      <xdr:nvSpPr>
        <xdr:cNvPr id="3867" name="Arrow: Down 3866">
          <a:extLst>
            <a:ext uri="{FF2B5EF4-FFF2-40B4-BE49-F238E27FC236}">
              <a16:creationId xmlns:a16="http://schemas.microsoft.com/office/drawing/2014/main" id="{22948619-876C-47FD-BEFB-2F5FD21EA613}"/>
            </a:ext>
          </a:extLst>
        </xdr:cNvPr>
        <xdr:cNvSpPr/>
      </xdr:nvSpPr>
      <xdr:spPr>
        <a:xfrm rot="10800000">
          <a:off x="11544300" y="9190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502</xdr:row>
      <xdr:rowOff>0</xdr:rowOff>
    </xdr:from>
    <xdr:to>
      <xdr:col>11</xdr:col>
      <xdr:colOff>83820</xdr:colOff>
      <xdr:row>502</xdr:row>
      <xdr:rowOff>114300</xdr:rowOff>
    </xdr:to>
    <xdr:sp macro="" textlink="">
      <xdr:nvSpPr>
        <xdr:cNvPr id="3868" name="Arrow: Down 3867">
          <a:extLst>
            <a:ext uri="{FF2B5EF4-FFF2-40B4-BE49-F238E27FC236}">
              <a16:creationId xmlns:a16="http://schemas.microsoft.com/office/drawing/2014/main" id="{7BA253AB-D6DB-4466-9C7D-97E5D5430ADE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502</xdr:row>
      <xdr:rowOff>0</xdr:rowOff>
    </xdr:from>
    <xdr:to>
      <xdr:col>24</xdr:col>
      <xdr:colOff>83820</xdr:colOff>
      <xdr:row>502</xdr:row>
      <xdr:rowOff>114300</xdr:rowOff>
    </xdr:to>
    <xdr:sp macro="" textlink="">
      <xdr:nvSpPr>
        <xdr:cNvPr id="3870" name="Arrow: Down 3869">
          <a:extLst>
            <a:ext uri="{FF2B5EF4-FFF2-40B4-BE49-F238E27FC236}">
              <a16:creationId xmlns:a16="http://schemas.microsoft.com/office/drawing/2014/main" id="{CE50E83C-082C-4771-828E-FF05326F8980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502</xdr:row>
      <xdr:rowOff>0</xdr:rowOff>
    </xdr:from>
    <xdr:to>
      <xdr:col>5</xdr:col>
      <xdr:colOff>83820</xdr:colOff>
      <xdr:row>502</xdr:row>
      <xdr:rowOff>114300</xdr:rowOff>
    </xdr:to>
    <xdr:sp macro="" textlink="">
      <xdr:nvSpPr>
        <xdr:cNvPr id="3871" name="Arrow: Down 3870">
          <a:extLst>
            <a:ext uri="{FF2B5EF4-FFF2-40B4-BE49-F238E27FC236}">
              <a16:creationId xmlns:a16="http://schemas.microsoft.com/office/drawing/2014/main" id="{51619980-1464-4E7B-B5A6-BF616F4123D3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503</xdr:row>
      <xdr:rowOff>0</xdr:rowOff>
    </xdr:from>
    <xdr:to>
      <xdr:col>45</xdr:col>
      <xdr:colOff>83820</xdr:colOff>
      <xdr:row>503</xdr:row>
      <xdr:rowOff>114300</xdr:rowOff>
    </xdr:to>
    <xdr:sp macro="" textlink="">
      <xdr:nvSpPr>
        <xdr:cNvPr id="3873" name="Arrow: Down 3872">
          <a:extLst>
            <a:ext uri="{FF2B5EF4-FFF2-40B4-BE49-F238E27FC236}">
              <a16:creationId xmlns:a16="http://schemas.microsoft.com/office/drawing/2014/main" id="{25A74736-F0BE-4E6E-9FAA-52EA677355CB}"/>
            </a:ext>
          </a:extLst>
        </xdr:cNvPr>
        <xdr:cNvSpPr/>
      </xdr:nvSpPr>
      <xdr:spPr>
        <a:xfrm>
          <a:off x="134035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503</xdr:row>
      <xdr:rowOff>0</xdr:rowOff>
    </xdr:from>
    <xdr:to>
      <xdr:col>60</xdr:col>
      <xdr:colOff>83820</xdr:colOff>
      <xdr:row>503</xdr:row>
      <xdr:rowOff>114300</xdr:rowOff>
    </xdr:to>
    <xdr:sp macro="" textlink="">
      <xdr:nvSpPr>
        <xdr:cNvPr id="3874" name="Arrow: Down 3873">
          <a:extLst>
            <a:ext uri="{FF2B5EF4-FFF2-40B4-BE49-F238E27FC236}">
              <a16:creationId xmlns:a16="http://schemas.microsoft.com/office/drawing/2014/main" id="{D7F029FB-22DB-426F-A88E-DFB63225C6DC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503</xdr:row>
      <xdr:rowOff>0</xdr:rowOff>
    </xdr:from>
    <xdr:to>
      <xdr:col>11</xdr:col>
      <xdr:colOff>83820</xdr:colOff>
      <xdr:row>503</xdr:row>
      <xdr:rowOff>114300</xdr:rowOff>
    </xdr:to>
    <xdr:sp macro="" textlink="">
      <xdr:nvSpPr>
        <xdr:cNvPr id="3876" name="Arrow: Down 3875">
          <a:extLst>
            <a:ext uri="{FF2B5EF4-FFF2-40B4-BE49-F238E27FC236}">
              <a16:creationId xmlns:a16="http://schemas.microsoft.com/office/drawing/2014/main" id="{8C5855C0-4300-4ED1-8871-FF24EC566772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503</xdr:row>
      <xdr:rowOff>0</xdr:rowOff>
    </xdr:from>
    <xdr:to>
      <xdr:col>24</xdr:col>
      <xdr:colOff>83820</xdr:colOff>
      <xdr:row>503</xdr:row>
      <xdr:rowOff>114300</xdr:rowOff>
    </xdr:to>
    <xdr:sp macro="" textlink="">
      <xdr:nvSpPr>
        <xdr:cNvPr id="3877" name="Arrow: Down 3876">
          <a:extLst>
            <a:ext uri="{FF2B5EF4-FFF2-40B4-BE49-F238E27FC236}">
              <a16:creationId xmlns:a16="http://schemas.microsoft.com/office/drawing/2014/main" id="{E72456F4-1B83-4B91-ACA0-72123A18813B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503</xdr:row>
      <xdr:rowOff>0</xdr:rowOff>
    </xdr:from>
    <xdr:to>
      <xdr:col>5</xdr:col>
      <xdr:colOff>83820</xdr:colOff>
      <xdr:row>503</xdr:row>
      <xdr:rowOff>114300</xdr:rowOff>
    </xdr:to>
    <xdr:sp macro="" textlink="">
      <xdr:nvSpPr>
        <xdr:cNvPr id="3878" name="Arrow: Down 3877">
          <a:extLst>
            <a:ext uri="{FF2B5EF4-FFF2-40B4-BE49-F238E27FC236}">
              <a16:creationId xmlns:a16="http://schemas.microsoft.com/office/drawing/2014/main" id="{BA50387C-A12E-46D4-AAE8-4AD3775C2C4E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503</xdr:row>
      <xdr:rowOff>0</xdr:rowOff>
    </xdr:from>
    <xdr:to>
      <xdr:col>39</xdr:col>
      <xdr:colOff>83820</xdr:colOff>
      <xdr:row>503</xdr:row>
      <xdr:rowOff>114300</xdr:rowOff>
    </xdr:to>
    <xdr:sp macro="" textlink="">
      <xdr:nvSpPr>
        <xdr:cNvPr id="3879" name="Arrow: Down 3878">
          <a:extLst>
            <a:ext uri="{FF2B5EF4-FFF2-40B4-BE49-F238E27FC236}">
              <a16:creationId xmlns:a16="http://schemas.microsoft.com/office/drawing/2014/main" id="{6825C708-01A7-4452-A6AF-7016AEFAA949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504</xdr:row>
      <xdr:rowOff>0</xdr:rowOff>
    </xdr:from>
    <xdr:to>
      <xdr:col>45</xdr:col>
      <xdr:colOff>83820</xdr:colOff>
      <xdr:row>504</xdr:row>
      <xdr:rowOff>114300</xdr:rowOff>
    </xdr:to>
    <xdr:sp macro="" textlink="">
      <xdr:nvSpPr>
        <xdr:cNvPr id="3881" name="Arrow: Down 3880">
          <a:extLst>
            <a:ext uri="{FF2B5EF4-FFF2-40B4-BE49-F238E27FC236}">
              <a16:creationId xmlns:a16="http://schemas.microsoft.com/office/drawing/2014/main" id="{E5AD0A99-8829-4A11-8585-DEC55A6D015A}"/>
            </a:ext>
          </a:extLst>
        </xdr:cNvPr>
        <xdr:cNvSpPr/>
      </xdr:nvSpPr>
      <xdr:spPr>
        <a:xfrm>
          <a:off x="134035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504</xdr:row>
      <xdr:rowOff>0</xdr:rowOff>
    </xdr:from>
    <xdr:to>
      <xdr:col>60</xdr:col>
      <xdr:colOff>83820</xdr:colOff>
      <xdr:row>504</xdr:row>
      <xdr:rowOff>114300</xdr:rowOff>
    </xdr:to>
    <xdr:sp macro="" textlink="">
      <xdr:nvSpPr>
        <xdr:cNvPr id="3882" name="Arrow: Down 3881">
          <a:extLst>
            <a:ext uri="{FF2B5EF4-FFF2-40B4-BE49-F238E27FC236}">
              <a16:creationId xmlns:a16="http://schemas.microsoft.com/office/drawing/2014/main" id="{8F663840-EA1F-49AE-B6AE-32ED4AB9CC1B}"/>
            </a:ext>
          </a:extLst>
        </xdr:cNvPr>
        <xdr:cNvSpPr/>
      </xdr:nvSpPr>
      <xdr:spPr>
        <a:xfrm rot="10800000">
          <a:off x="190804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504</xdr:row>
      <xdr:rowOff>0</xdr:rowOff>
    </xdr:from>
    <xdr:to>
      <xdr:col>11</xdr:col>
      <xdr:colOff>83820</xdr:colOff>
      <xdr:row>504</xdr:row>
      <xdr:rowOff>114300</xdr:rowOff>
    </xdr:to>
    <xdr:sp macro="" textlink="">
      <xdr:nvSpPr>
        <xdr:cNvPr id="3883" name="Arrow: Down 3882">
          <a:extLst>
            <a:ext uri="{FF2B5EF4-FFF2-40B4-BE49-F238E27FC236}">
              <a16:creationId xmlns:a16="http://schemas.microsoft.com/office/drawing/2014/main" id="{A4AB65F5-F123-4FC6-AD9A-AC772BA843F4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504</xdr:row>
      <xdr:rowOff>0</xdr:rowOff>
    </xdr:from>
    <xdr:to>
      <xdr:col>24</xdr:col>
      <xdr:colOff>83820</xdr:colOff>
      <xdr:row>504</xdr:row>
      <xdr:rowOff>114300</xdr:rowOff>
    </xdr:to>
    <xdr:sp macro="" textlink="">
      <xdr:nvSpPr>
        <xdr:cNvPr id="3884" name="Arrow: Down 3883">
          <a:extLst>
            <a:ext uri="{FF2B5EF4-FFF2-40B4-BE49-F238E27FC236}">
              <a16:creationId xmlns:a16="http://schemas.microsoft.com/office/drawing/2014/main" id="{862A1E1C-1A80-4B26-A371-DC7DA1740780}"/>
            </a:ext>
          </a:extLst>
        </xdr:cNvPr>
        <xdr:cNvSpPr/>
      </xdr:nvSpPr>
      <xdr:spPr>
        <a:xfrm rot="10800000">
          <a:off x="83362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504</xdr:row>
      <xdr:rowOff>0</xdr:rowOff>
    </xdr:from>
    <xdr:to>
      <xdr:col>5</xdr:col>
      <xdr:colOff>83820</xdr:colOff>
      <xdr:row>504</xdr:row>
      <xdr:rowOff>114300</xdr:rowOff>
    </xdr:to>
    <xdr:sp macro="" textlink="">
      <xdr:nvSpPr>
        <xdr:cNvPr id="3885" name="Arrow: Down 3884">
          <a:extLst>
            <a:ext uri="{FF2B5EF4-FFF2-40B4-BE49-F238E27FC236}">
              <a16:creationId xmlns:a16="http://schemas.microsoft.com/office/drawing/2014/main" id="{D6493298-BE13-41E5-8701-086BD68D5271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504</xdr:row>
      <xdr:rowOff>0</xdr:rowOff>
    </xdr:from>
    <xdr:to>
      <xdr:col>39</xdr:col>
      <xdr:colOff>83820</xdr:colOff>
      <xdr:row>504</xdr:row>
      <xdr:rowOff>114300</xdr:rowOff>
    </xdr:to>
    <xdr:sp macro="" textlink="">
      <xdr:nvSpPr>
        <xdr:cNvPr id="3886" name="Arrow: Down 3885">
          <a:extLst>
            <a:ext uri="{FF2B5EF4-FFF2-40B4-BE49-F238E27FC236}">
              <a16:creationId xmlns:a16="http://schemas.microsoft.com/office/drawing/2014/main" id="{9771886D-E6CA-46EF-8BF2-6A52C09DA244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503</xdr:row>
      <xdr:rowOff>0</xdr:rowOff>
    </xdr:from>
    <xdr:to>
      <xdr:col>71</xdr:col>
      <xdr:colOff>83820</xdr:colOff>
      <xdr:row>503</xdr:row>
      <xdr:rowOff>114300</xdr:rowOff>
    </xdr:to>
    <xdr:sp macro="" textlink="">
      <xdr:nvSpPr>
        <xdr:cNvPr id="3887" name="Arrow: Down 3886">
          <a:extLst>
            <a:ext uri="{FF2B5EF4-FFF2-40B4-BE49-F238E27FC236}">
              <a16:creationId xmlns:a16="http://schemas.microsoft.com/office/drawing/2014/main" id="{37C1E501-1B87-4BB8-A2A5-21AFA450B2C6}"/>
            </a:ext>
          </a:extLst>
        </xdr:cNvPr>
        <xdr:cNvSpPr/>
      </xdr:nvSpPr>
      <xdr:spPr>
        <a:xfrm rot="10800000">
          <a:off x="216331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504</xdr:row>
      <xdr:rowOff>0</xdr:rowOff>
    </xdr:from>
    <xdr:to>
      <xdr:col>71</xdr:col>
      <xdr:colOff>83820</xdr:colOff>
      <xdr:row>504</xdr:row>
      <xdr:rowOff>114300</xdr:rowOff>
    </xdr:to>
    <xdr:sp macro="" textlink="">
      <xdr:nvSpPr>
        <xdr:cNvPr id="3888" name="Arrow: Down 3887">
          <a:extLst>
            <a:ext uri="{FF2B5EF4-FFF2-40B4-BE49-F238E27FC236}">
              <a16:creationId xmlns:a16="http://schemas.microsoft.com/office/drawing/2014/main" id="{0F0E4666-7653-4EF7-B240-6879C285ECFE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505</xdr:row>
      <xdr:rowOff>0</xdr:rowOff>
    </xdr:from>
    <xdr:to>
      <xdr:col>45</xdr:col>
      <xdr:colOff>83820</xdr:colOff>
      <xdr:row>505</xdr:row>
      <xdr:rowOff>114300</xdr:rowOff>
    </xdr:to>
    <xdr:sp macro="" textlink="">
      <xdr:nvSpPr>
        <xdr:cNvPr id="3896" name="Arrow: Down 3895">
          <a:extLst>
            <a:ext uri="{FF2B5EF4-FFF2-40B4-BE49-F238E27FC236}">
              <a16:creationId xmlns:a16="http://schemas.microsoft.com/office/drawing/2014/main" id="{97088C7B-C404-4B0B-8B96-0DD6105B54BF}"/>
            </a:ext>
          </a:extLst>
        </xdr:cNvPr>
        <xdr:cNvSpPr/>
      </xdr:nvSpPr>
      <xdr:spPr>
        <a:xfrm>
          <a:off x="134035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505</xdr:row>
      <xdr:rowOff>0</xdr:rowOff>
    </xdr:from>
    <xdr:to>
      <xdr:col>11</xdr:col>
      <xdr:colOff>83820</xdr:colOff>
      <xdr:row>505</xdr:row>
      <xdr:rowOff>114300</xdr:rowOff>
    </xdr:to>
    <xdr:sp macro="" textlink="">
      <xdr:nvSpPr>
        <xdr:cNvPr id="3898" name="Arrow: Down 3897">
          <a:extLst>
            <a:ext uri="{FF2B5EF4-FFF2-40B4-BE49-F238E27FC236}">
              <a16:creationId xmlns:a16="http://schemas.microsoft.com/office/drawing/2014/main" id="{E6698A16-288A-460D-AA40-A7B64247AB69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505</xdr:row>
      <xdr:rowOff>0</xdr:rowOff>
    </xdr:from>
    <xdr:to>
      <xdr:col>24</xdr:col>
      <xdr:colOff>83820</xdr:colOff>
      <xdr:row>505</xdr:row>
      <xdr:rowOff>114300</xdr:rowOff>
    </xdr:to>
    <xdr:sp macro="" textlink="">
      <xdr:nvSpPr>
        <xdr:cNvPr id="3899" name="Arrow: Down 3898">
          <a:extLst>
            <a:ext uri="{FF2B5EF4-FFF2-40B4-BE49-F238E27FC236}">
              <a16:creationId xmlns:a16="http://schemas.microsoft.com/office/drawing/2014/main" id="{4930FD20-4FC3-4790-AD77-1C7850C6CA12}"/>
            </a:ext>
          </a:extLst>
        </xdr:cNvPr>
        <xdr:cNvSpPr/>
      </xdr:nvSpPr>
      <xdr:spPr>
        <a:xfrm rot="10800000">
          <a:off x="83362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83820</xdr:colOff>
      <xdr:row>505</xdr:row>
      <xdr:rowOff>114300</xdr:rowOff>
    </xdr:to>
    <xdr:sp macro="" textlink="">
      <xdr:nvSpPr>
        <xdr:cNvPr id="3900" name="Arrow: Down 3899">
          <a:extLst>
            <a:ext uri="{FF2B5EF4-FFF2-40B4-BE49-F238E27FC236}">
              <a16:creationId xmlns:a16="http://schemas.microsoft.com/office/drawing/2014/main" id="{A71FEAEB-2EEE-4BB8-99D3-466D50C0BF02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505</xdr:row>
      <xdr:rowOff>0</xdr:rowOff>
    </xdr:from>
    <xdr:to>
      <xdr:col>71</xdr:col>
      <xdr:colOff>83820</xdr:colOff>
      <xdr:row>505</xdr:row>
      <xdr:rowOff>114300</xdr:rowOff>
    </xdr:to>
    <xdr:sp macro="" textlink="">
      <xdr:nvSpPr>
        <xdr:cNvPr id="3902" name="Arrow: Down 3901">
          <a:extLst>
            <a:ext uri="{FF2B5EF4-FFF2-40B4-BE49-F238E27FC236}">
              <a16:creationId xmlns:a16="http://schemas.microsoft.com/office/drawing/2014/main" id="{E10613E4-4B91-44B2-AF86-43084E129FBA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505</xdr:row>
      <xdr:rowOff>0</xdr:rowOff>
    </xdr:from>
    <xdr:to>
      <xdr:col>39</xdr:col>
      <xdr:colOff>83820</xdr:colOff>
      <xdr:row>505</xdr:row>
      <xdr:rowOff>114300</xdr:rowOff>
    </xdr:to>
    <xdr:sp macro="" textlink="">
      <xdr:nvSpPr>
        <xdr:cNvPr id="3904" name="Arrow: Down 3903">
          <a:extLst>
            <a:ext uri="{FF2B5EF4-FFF2-40B4-BE49-F238E27FC236}">
              <a16:creationId xmlns:a16="http://schemas.microsoft.com/office/drawing/2014/main" id="{C4800284-2545-467D-BE3D-79EE110FACED}"/>
            </a:ext>
          </a:extLst>
        </xdr:cNvPr>
        <xdr:cNvSpPr/>
      </xdr:nvSpPr>
      <xdr:spPr>
        <a:xfrm rot="10800000">
          <a:off x="1154430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506</xdr:row>
      <xdr:rowOff>0</xdr:rowOff>
    </xdr:from>
    <xdr:to>
      <xdr:col>45</xdr:col>
      <xdr:colOff>83820</xdr:colOff>
      <xdr:row>506</xdr:row>
      <xdr:rowOff>114300</xdr:rowOff>
    </xdr:to>
    <xdr:sp macro="" textlink="">
      <xdr:nvSpPr>
        <xdr:cNvPr id="3905" name="Arrow: Down 3904">
          <a:extLst>
            <a:ext uri="{FF2B5EF4-FFF2-40B4-BE49-F238E27FC236}">
              <a16:creationId xmlns:a16="http://schemas.microsoft.com/office/drawing/2014/main" id="{1AE0580F-E422-475D-8922-86631010DB10}"/>
            </a:ext>
          </a:extLst>
        </xdr:cNvPr>
        <xdr:cNvSpPr/>
      </xdr:nvSpPr>
      <xdr:spPr>
        <a:xfrm>
          <a:off x="134035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506</xdr:row>
      <xdr:rowOff>0</xdr:rowOff>
    </xdr:from>
    <xdr:to>
      <xdr:col>11</xdr:col>
      <xdr:colOff>83820</xdr:colOff>
      <xdr:row>506</xdr:row>
      <xdr:rowOff>114300</xdr:rowOff>
    </xdr:to>
    <xdr:sp macro="" textlink="">
      <xdr:nvSpPr>
        <xdr:cNvPr id="3907" name="Arrow: Down 3906">
          <a:extLst>
            <a:ext uri="{FF2B5EF4-FFF2-40B4-BE49-F238E27FC236}">
              <a16:creationId xmlns:a16="http://schemas.microsoft.com/office/drawing/2014/main" id="{12E893C9-3D31-47FA-B71E-447BAA8F9F67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506</xdr:row>
      <xdr:rowOff>0</xdr:rowOff>
    </xdr:from>
    <xdr:to>
      <xdr:col>24</xdr:col>
      <xdr:colOff>83820</xdr:colOff>
      <xdr:row>506</xdr:row>
      <xdr:rowOff>114300</xdr:rowOff>
    </xdr:to>
    <xdr:sp macro="" textlink="">
      <xdr:nvSpPr>
        <xdr:cNvPr id="3908" name="Arrow: Down 3907">
          <a:extLst>
            <a:ext uri="{FF2B5EF4-FFF2-40B4-BE49-F238E27FC236}">
              <a16:creationId xmlns:a16="http://schemas.microsoft.com/office/drawing/2014/main" id="{FFBE416B-CCDF-4063-8C52-E60F4DDC9EF3}"/>
            </a:ext>
          </a:extLst>
        </xdr:cNvPr>
        <xdr:cNvSpPr/>
      </xdr:nvSpPr>
      <xdr:spPr>
        <a:xfrm rot="10800000">
          <a:off x="83362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506</xdr:row>
      <xdr:rowOff>0</xdr:rowOff>
    </xdr:from>
    <xdr:to>
      <xdr:col>5</xdr:col>
      <xdr:colOff>83820</xdr:colOff>
      <xdr:row>506</xdr:row>
      <xdr:rowOff>114300</xdr:rowOff>
    </xdr:to>
    <xdr:sp macro="" textlink="">
      <xdr:nvSpPr>
        <xdr:cNvPr id="3909" name="Arrow: Down 3908">
          <a:extLst>
            <a:ext uri="{FF2B5EF4-FFF2-40B4-BE49-F238E27FC236}">
              <a16:creationId xmlns:a16="http://schemas.microsoft.com/office/drawing/2014/main" id="{D321B410-5025-464F-A021-7824C7EBD732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506</xdr:row>
      <xdr:rowOff>0</xdr:rowOff>
    </xdr:from>
    <xdr:to>
      <xdr:col>39</xdr:col>
      <xdr:colOff>83820</xdr:colOff>
      <xdr:row>506</xdr:row>
      <xdr:rowOff>114300</xdr:rowOff>
    </xdr:to>
    <xdr:sp macro="" textlink="">
      <xdr:nvSpPr>
        <xdr:cNvPr id="3912" name="Arrow: Down 3911">
          <a:extLst>
            <a:ext uri="{FF2B5EF4-FFF2-40B4-BE49-F238E27FC236}">
              <a16:creationId xmlns:a16="http://schemas.microsoft.com/office/drawing/2014/main" id="{3C31E7E5-97F5-4837-A064-1AA87DD4966A}"/>
            </a:ext>
          </a:extLst>
        </xdr:cNvPr>
        <xdr:cNvSpPr/>
      </xdr:nvSpPr>
      <xdr:spPr>
        <a:xfrm>
          <a:off x="115443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506</xdr:row>
      <xdr:rowOff>0</xdr:rowOff>
    </xdr:from>
    <xdr:to>
      <xdr:col>71</xdr:col>
      <xdr:colOff>83820</xdr:colOff>
      <xdr:row>506</xdr:row>
      <xdr:rowOff>114300</xdr:rowOff>
    </xdr:to>
    <xdr:sp macro="" textlink="">
      <xdr:nvSpPr>
        <xdr:cNvPr id="3913" name="Arrow: Down 3912">
          <a:extLst>
            <a:ext uri="{FF2B5EF4-FFF2-40B4-BE49-F238E27FC236}">
              <a16:creationId xmlns:a16="http://schemas.microsoft.com/office/drawing/2014/main" id="{82FE3A62-A893-4AB2-8D75-83CC83F0B528}"/>
            </a:ext>
          </a:extLst>
        </xdr:cNvPr>
        <xdr:cNvSpPr/>
      </xdr:nvSpPr>
      <xdr:spPr>
        <a:xfrm>
          <a:off x="216331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507</xdr:row>
      <xdr:rowOff>0</xdr:rowOff>
    </xdr:from>
    <xdr:to>
      <xdr:col>45</xdr:col>
      <xdr:colOff>83820</xdr:colOff>
      <xdr:row>507</xdr:row>
      <xdr:rowOff>114300</xdr:rowOff>
    </xdr:to>
    <xdr:sp macro="" textlink="">
      <xdr:nvSpPr>
        <xdr:cNvPr id="3914" name="Arrow: Down 3913">
          <a:extLst>
            <a:ext uri="{FF2B5EF4-FFF2-40B4-BE49-F238E27FC236}">
              <a16:creationId xmlns:a16="http://schemas.microsoft.com/office/drawing/2014/main" id="{F091E01C-2F67-45F3-8CF8-F280C3F08919}"/>
            </a:ext>
          </a:extLst>
        </xdr:cNvPr>
        <xdr:cNvSpPr/>
      </xdr:nvSpPr>
      <xdr:spPr>
        <a:xfrm>
          <a:off x="134035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507</xdr:row>
      <xdr:rowOff>0</xdr:rowOff>
    </xdr:from>
    <xdr:to>
      <xdr:col>60</xdr:col>
      <xdr:colOff>83820</xdr:colOff>
      <xdr:row>507</xdr:row>
      <xdr:rowOff>114300</xdr:rowOff>
    </xdr:to>
    <xdr:sp macro="" textlink="">
      <xdr:nvSpPr>
        <xdr:cNvPr id="3915" name="Arrow: Down 3914">
          <a:extLst>
            <a:ext uri="{FF2B5EF4-FFF2-40B4-BE49-F238E27FC236}">
              <a16:creationId xmlns:a16="http://schemas.microsoft.com/office/drawing/2014/main" id="{29E86EDF-5C8D-483A-BAB7-5EC17AEB07FE}"/>
            </a:ext>
          </a:extLst>
        </xdr:cNvPr>
        <xdr:cNvSpPr/>
      </xdr:nvSpPr>
      <xdr:spPr>
        <a:xfrm rot="10800000">
          <a:off x="190804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507</xdr:row>
      <xdr:rowOff>0</xdr:rowOff>
    </xdr:from>
    <xdr:to>
      <xdr:col>71</xdr:col>
      <xdr:colOff>83820</xdr:colOff>
      <xdr:row>507</xdr:row>
      <xdr:rowOff>114300</xdr:rowOff>
    </xdr:to>
    <xdr:sp macro="" textlink="">
      <xdr:nvSpPr>
        <xdr:cNvPr id="3921" name="Arrow: Down 3920">
          <a:extLst>
            <a:ext uri="{FF2B5EF4-FFF2-40B4-BE49-F238E27FC236}">
              <a16:creationId xmlns:a16="http://schemas.microsoft.com/office/drawing/2014/main" id="{12228DCC-3D69-42E3-8F82-2E2ABABA8DB1}"/>
            </a:ext>
          </a:extLst>
        </xdr:cNvPr>
        <xdr:cNvSpPr/>
      </xdr:nvSpPr>
      <xdr:spPr>
        <a:xfrm rot="10800000">
          <a:off x="216331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83820</xdr:colOff>
      <xdr:row>507</xdr:row>
      <xdr:rowOff>114300</xdr:rowOff>
    </xdr:to>
    <xdr:sp macro="" textlink="">
      <xdr:nvSpPr>
        <xdr:cNvPr id="3922" name="Arrow: Down 3921">
          <a:extLst>
            <a:ext uri="{FF2B5EF4-FFF2-40B4-BE49-F238E27FC236}">
              <a16:creationId xmlns:a16="http://schemas.microsoft.com/office/drawing/2014/main" id="{44974784-51B4-4DFF-BBAA-99CE777DB970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507</xdr:row>
      <xdr:rowOff>0</xdr:rowOff>
    </xdr:from>
    <xdr:to>
      <xdr:col>11</xdr:col>
      <xdr:colOff>83820</xdr:colOff>
      <xdr:row>507</xdr:row>
      <xdr:rowOff>114300</xdr:rowOff>
    </xdr:to>
    <xdr:sp macro="" textlink="">
      <xdr:nvSpPr>
        <xdr:cNvPr id="3923" name="Arrow: Down 3922">
          <a:extLst>
            <a:ext uri="{FF2B5EF4-FFF2-40B4-BE49-F238E27FC236}">
              <a16:creationId xmlns:a16="http://schemas.microsoft.com/office/drawing/2014/main" id="{BA418423-4504-4DDA-824A-8EB31019A5F1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507</xdr:row>
      <xdr:rowOff>0</xdr:rowOff>
    </xdr:from>
    <xdr:to>
      <xdr:col>24</xdr:col>
      <xdr:colOff>83820</xdr:colOff>
      <xdr:row>507</xdr:row>
      <xdr:rowOff>114300</xdr:rowOff>
    </xdr:to>
    <xdr:sp macro="" textlink="">
      <xdr:nvSpPr>
        <xdr:cNvPr id="3924" name="Arrow: Down 3923">
          <a:extLst>
            <a:ext uri="{FF2B5EF4-FFF2-40B4-BE49-F238E27FC236}">
              <a16:creationId xmlns:a16="http://schemas.microsoft.com/office/drawing/2014/main" id="{4E4A4D3C-6559-4780-9534-373C049D3B28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507</xdr:row>
      <xdr:rowOff>0</xdr:rowOff>
    </xdr:from>
    <xdr:to>
      <xdr:col>39</xdr:col>
      <xdr:colOff>83820</xdr:colOff>
      <xdr:row>507</xdr:row>
      <xdr:rowOff>114300</xdr:rowOff>
    </xdr:to>
    <xdr:sp macro="" textlink="">
      <xdr:nvSpPr>
        <xdr:cNvPr id="3926" name="Arrow: Down 3925">
          <a:extLst>
            <a:ext uri="{FF2B5EF4-FFF2-40B4-BE49-F238E27FC236}">
              <a16:creationId xmlns:a16="http://schemas.microsoft.com/office/drawing/2014/main" id="{F65509A8-2B6D-4581-B61D-EE64BCE8AA7F}"/>
            </a:ext>
          </a:extLst>
        </xdr:cNvPr>
        <xdr:cNvSpPr/>
      </xdr:nvSpPr>
      <xdr:spPr>
        <a:xfrm rot="10800000">
          <a:off x="115443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505</xdr:row>
      <xdr:rowOff>0</xdr:rowOff>
    </xdr:from>
    <xdr:to>
      <xdr:col>60</xdr:col>
      <xdr:colOff>83820</xdr:colOff>
      <xdr:row>505</xdr:row>
      <xdr:rowOff>114300</xdr:rowOff>
    </xdr:to>
    <xdr:sp macro="" textlink="">
      <xdr:nvSpPr>
        <xdr:cNvPr id="3928" name="Arrow: Down 3927">
          <a:extLst>
            <a:ext uri="{FF2B5EF4-FFF2-40B4-BE49-F238E27FC236}">
              <a16:creationId xmlns:a16="http://schemas.microsoft.com/office/drawing/2014/main" id="{CD74943D-A3D7-4683-968A-0DB7ADFFFD04}"/>
            </a:ext>
          </a:extLst>
        </xdr:cNvPr>
        <xdr:cNvSpPr/>
      </xdr:nvSpPr>
      <xdr:spPr>
        <a:xfrm>
          <a:off x="1908048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506</xdr:row>
      <xdr:rowOff>0</xdr:rowOff>
    </xdr:from>
    <xdr:to>
      <xdr:col>60</xdr:col>
      <xdr:colOff>83820</xdr:colOff>
      <xdr:row>506</xdr:row>
      <xdr:rowOff>114300</xdr:rowOff>
    </xdr:to>
    <xdr:sp macro="" textlink="">
      <xdr:nvSpPr>
        <xdr:cNvPr id="3929" name="Arrow: Down 3928">
          <a:extLst>
            <a:ext uri="{FF2B5EF4-FFF2-40B4-BE49-F238E27FC236}">
              <a16:creationId xmlns:a16="http://schemas.microsoft.com/office/drawing/2014/main" id="{CA1CC9F9-4BC9-4B15-A208-09F48C47F74E}"/>
            </a:ext>
          </a:extLst>
        </xdr:cNvPr>
        <xdr:cNvSpPr/>
      </xdr:nvSpPr>
      <xdr:spPr>
        <a:xfrm>
          <a:off x="190804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508</xdr:row>
      <xdr:rowOff>0</xdr:rowOff>
    </xdr:from>
    <xdr:to>
      <xdr:col>45</xdr:col>
      <xdr:colOff>83820</xdr:colOff>
      <xdr:row>508</xdr:row>
      <xdr:rowOff>114300</xdr:rowOff>
    </xdr:to>
    <xdr:sp macro="" textlink="">
      <xdr:nvSpPr>
        <xdr:cNvPr id="3930" name="Arrow: Down 3929">
          <a:extLst>
            <a:ext uri="{FF2B5EF4-FFF2-40B4-BE49-F238E27FC236}">
              <a16:creationId xmlns:a16="http://schemas.microsoft.com/office/drawing/2014/main" id="{AB875D2E-BE6C-41A0-A104-D264969AAB84}"/>
            </a:ext>
          </a:extLst>
        </xdr:cNvPr>
        <xdr:cNvSpPr/>
      </xdr:nvSpPr>
      <xdr:spPr>
        <a:xfrm>
          <a:off x="134035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508</xdr:row>
      <xdr:rowOff>0</xdr:rowOff>
    </xdr:from>
    <xdr:to>
      <xdr:col>5</xdr:col>
      <xdr:colOff>83820</xdr:colOff>
      <xdr:row>508</xdr:row>
      <xdr:rowOff>114300</xdr:rowOff>
    </xdr:to>
    <xdr:sp macro="" textlink="">
      <xdr:nvSpPr>
        <xdr:cNvPr id="3933" name="Arrow: Down 3932">
          <a:extLst>
            <a:ext uri="{FF2B5EF4-FFF2-40B4-BE49-F238E27FC236}">
              <a16:creationId xmlns:a16="http://schemas.microsoft.com/office/drawing/2014/main" id="{DC5856A3-E427-446C-93AC-5911F211A093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508</xdr:row>
      <xdr:rowOff>0</xdr:rowOff>
    </xdr:from>
    <xdr:to>
      <xdr:col>11</xdr:col>
      <xdr:colOff>83820</xdr:colOff>
      <xdr:row>508</xdr:row>
      <xdr:rowOff>114300</xdr:rowOff>
    </xdr:to>
    <xdr:sp macro="" textlink="">
      <xdr:nvSpPr>
        <xdr:cNvPr id="3934" name="Arrow: Down 3933">
          <a:extLst>
            <a:ext uri="{FF2B5EF4-FFF2-40B4-BE49-F238E27FC236}">
              <a16:creationId xmlns:a16="http://schemas.microsoft.com/office/drawing/2014/main" id="{8A06AC97-4557-4CAB-9C55-3A60DB7FB37D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508</xdr:row>
      <xdr:rowOff>0</xdr:rowOff>
    </xdr:from>
    <xdr:to>
      <xdr:col>24</xdr:col>
      <xdr:colOff>83820</xdr:colOff>
      <xdr:row>508</xdr:row>
      <xdr:rowOff>114300</xdr:rowOff>
    </xdr:to>
    <xdr:sp macro="" textlink="">
      <xdr:nvSpPr>
        <xdr:cNvPr id="3935" name="Arrow: Down 3934">
          <a:extLst>
            <a:ext uri="{FF2B5EF4-FFF2-40B4-BE49-F238E27FC236}">
              <a16:creationId xmlns:a16="http://schemas.microsoft.com/office/drawing/2014/main" id="{6355A8DE-DF69-4A67-A6E5-4AFA4C4E21F5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508</xdr:row>
      <xdr:rowOff>0</xdr:rowOff>
    </xdr:from>
    <xdr:to>
      <xdr:col>60</xdr:col>
      <xdr:colOff>83820</xdr:colOff>
      <xdr:row>508</xdr:row>
      <xdr:rowOff>114300</xdr:rowOff>
    </xdr:to>
    <xdr:sp macro="" textlink="">
      <xdr:nvSpPr>
        <xdr:cNvPr id="3939" name="Arrow: Down 3938">
          <a:extLst>
            <a:ext uri="{FF2B5EF4-FFF2-40B4-BE49-F238E27FC236}">
              <a16:creationId xmlns:a16="http://schemas.microsoft.com/office/drawing/2014/main" id="{335343DD-7DA8-4DA8-A025-19EF72369B9E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508</xdr:row>
      <xdr:rowOff>0</xdr:rowOff>
    </xdr:from>
    <xdr:to>
      <xdr:col>71</xdr:col>
      <xdr:colOff>83820</xdr:colOff>
      <xdr:row>508</xdr:row>
      <xdr:rowOff>114300</xdr:rowOff>
    </xdr:to>
    <xdr:sp macro="" textlink="">
      <xdr:nvSpPr>
        <xdr:cNvPr id="3941" name="Arrow: Down 3940">
          <a:extLst>
            <a:ext uri="{FF2B5EF4-FFF2-40B4-BE49-F238E27FC236}">
              <a16:creationId xmlns:a16="http://schemas.microsoft.com/office/drawing/2014/main" id="{BF119AA2-82B1-432A-BDC0-3A8979EF250D}"/>
            </a:ext>
          </a:extLst>
        </xdr:cNvPr>
        <xdr:cNvSpPr/>
      </xdr:nvSpPr>
      <xdr:spPr>
        <a:xfrm rot="10800000">
          <a:off x="216331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508</xdr:row>
      <xdr:rowOff>0</xdr:rowOff>
    </xdr:from>
    <xdr:to>
      <xdr:col>39</xdr:col>
      <xdr:colOff>83820</xdr:colOff>
      <xdr:row>508</xdr:row>
      <xdr:rowOff>114300</xdr:rowOff>
    </xdr:to>
    <xdr:sp macro="" textlink="">
      <xdr:nvSpPr>
        <xdr:cNvPr id="3943" name="Arrow: Down 3942">
          <a:extLst>
            <a:ext uri="{FF2B5EF4-FFF2-40B4-BE49-F238E27FC236}">
              <a16:creationId xmlns:a16="http://schemas.microsoft.com/office/drawing/2014/main" id="{1F1658C3-ACF7-4C27-8F6F-40A409F5A9EC}"/>
            </a:ext>
          </a:extLst>
        </xdr:cNvPr>
        <xdr:cNvSpPr/>
      </xdr:nvSpPr>
      <xdr:spPr>
        <a:xfrm>
          <a:off x="1154430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509</xdr:row>
      <xdr:rowOff>0</xdr:rowOff>
    </xdr:from>
    <xdr:to>
      <xdr:col>45</xdr:col>
      <xdr:colOff>83820</xdr:colOff>
      <xdr:row>509</xdr:row>
      <xdr:rowOff>114300</xdr:rowOff>
    </xdr:to>
    <xdr:sp macro="" textlink="">
      <xdr:nvSpPr>
        <xdr:cNvPr id="3621" name="Arrow: Down 3620">
          <a:extLst>
            <a:ext uri="{FF2B5EF4-FFF2-40B4-BE49-F238E27FC236}">
              <a16:creationId xmlns:a16="http://schemas.microsoft.com/office/drawing/2014/main" id="{58ED6A2D-1303-42D9-8780-8E85AC0484DF}"/>
            </a:ext>
          </a:extLst>
        </xdr:cNvPr>
        <xdr:cNvSpPr/>
      </xdr:nvSpPr>
      <xdr:spPr>
        <a:xfrm>
          <a:off x="134035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509</xdr:row>
      <xdr:rowOff>0</xdr:rowOff>
    </xdr:from>
    <xdr:to>
      <xdr:col>60</xdr:col>
      <xdr:colOff>83820</xdr:colOff>
      <xdr:row>509</xdr:row>
      <xdr:rowOff>114300</xdr:rowOff>
    </xdr:to>
    <xdr:sp macro="" textlink="">
      <xdr:nvSpPr>
        <xdr:cNvPr id="3646" name="Arrow: Down 3645">
          <a:extLst>
            <a:ext uri="{FF2B5EF4-FFF2-40B4-BE49-F238E27FC236}">
              <a16:creationId xmlns:a16="http://schemas.microsoft.com/office/drawing/2014/main" id="{5D9E1B14-CC10-4D5E-BFEF-10EF14795FC4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509</xdr:row>
      <xdr:rowOff>0</xdr:rowOff>
    </xdr:from>
    <xdr:to>
      <xdr:col>5</xdr:col>
      <xdr:colOff>83820</xdr:colOff>
      <xdr:row>509</xdr:row>
      <xdr:rowOff>114300</xdr:rowOff>
    </xdr:to>
    <xdr:sp macro="" textlink="">
      <xdr:nvSpPr>
        <xdr:cNvPr id="3680" name="Arrow: Down 3679">
          <a:extLst>
            <a:ext uri="{FF2B5EF4-FFF2-40B4-BE49-F238E27FC236}">
              <a16:creationId xmlns:a16="http://schemas.microsoft.com/office/drawing/2014/main" id="{8F7CBB9C-5E40-4FE4-9361-308D6657711F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509</xdr:row>
      <xdr:rowOff>0</xdr:rowOff>
    </xdr:from>
    <xdr:to>
      <xdr:col>11</xdr:col>
      <xdr:colOff>83820</xdr:colOff>
      <xdr:row>509</xdr:row>
      <xdr:rowOff>114300</xdr:rowOff>
    </xdr:to>
    <xdr:sp macro="" textlink="">
      <xdr:nvSpPr>
        <xdr:cNvPr id="3695" name="Arrow: Down 3694">
          <a:extLst>
            <a:ext uri="{FF2B5EF4-FFF2-40B4-BE49-F238E27FC236}">
              <a16:creationId xmlns:a16="http://schemas.microsoft.com/office/drawing/2014/main" id="{AC2F106E-0566-4059-A5E5-BF7E9518829A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509</xdr:row>
      <xdr:rowOff>0</xdr:rowOff>
    </xdr:from>
    <xdr:to>
      <xdr:col>24</xdr:col>
      <xdr:colOff>83820</xdr:colOff>
      <xdr:row>509</xdr:row>
      <xdr:rowOff>114300</xdr:rowOff>
    </xdr:to>
    <xdr:sp macro="" textlink="">
      <xdr:nvSpPr>
        <xdr:cNvPr id="3700" name="Arrow: Down 3699">
          <a:extLst>
            <a:ext uri="{FF2B5EF4-FFF2-40B4-BE49-F238E27FC236}">
              <a16:creationId xmlns:a16="http://schemas.microsoft.com/office/drawing/2014/main" id="{87AB0BAD-FD44-4782-82CA-174FC852E5E9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509</xdr:row>
      <xdr:rowOff>0</xdr:rowOff>
    </xdr:from>
    <xdr:to>
      <xdr:col>39</xdr:col>
      <xdr:colOff>83820</xdr:colOff>
      <xdr:row>509</xdr:row>
      <xdr:rowOff>114300</xdr:rowOff>
    </xdr:to>
    <xdr:sp macro="" textlink="">
      <xdr:nvSpPr>
        <xdr:cNvPr id="3702" name="Arrow: Down 3701">
          <a:extLst>
            <a:ext uri="{FF2B5EF4-FFF2-40B4-BE49-F238E27FC236}">
              <a16:creationId xmlns:a16="http://schemas.microsoft.com/office/drawing/2014/main" id="{269D6D7F-9558-43FB-913C-BBA34FDD9CDE}"/>
            </a:ext>
          </a:extLst>
        </xdr:cNvPr>
        <xdr:cNvSpPr/>
      </xdr:nvSpPr>
      <xdr:spPr>
        <a:xfrm rot="10800000">
          <a:off x="1154430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509</xdr:row>
      <xdr:rowOff>0</xdr:rowOff>
    </xdr:from>
    <xdr:to>
      <xdr:col>71</xdr:col>
      <xdr:colOff>83820</xdr:colOff>
      <xdr:row>509</xdr:row>
      <xdr:rowOff>114300</xdr:rowOff>
    </xdr:to>
    <xdr:sp macro="" textlink="">
      <xdr:nvSpPr>
        <xdr:cNvPr id="3704" name="Arrow: Down 3703">
          <a:extLst>
            <a:ext uri="{FF2B5EF4-FFF2-40B4-BE49-F238E27FC236}">
              <a16:creationId xmlns:a16="http://schemas.microsoft.com/office/drawing/2014/main" id="{9669DAB3-FF5A-437D-842B-A2FC7598F632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510</xdr:row>
      <xdr:rowOff>0</xdr:rowOff>
    </xdr:from>
    <xdr:to>
      <xdr:col>45</xdr:col>
      <xdr:colOff>83820</xdr:colOff>
      <xdr:row>510</xdr:row>
      <xdr:rowOff>114300</xdr:rowOff>
    </xdr:to>
    <xdr:sp macro="" textlink="">
      <xdr:nvSpPr>
        <xdr:cNvPr id="3705" name="Arrow: Down 3704">
          <a:extLst>
            <a:ext uri="{FF2B5EF4-FFF2-40B4-BE49-F238E27FC236}">
              <a16:creationId xmlns:a16="http://schemas.microsoft.com/office/drawing/2014/main" id="{1A6D92CC-8F5D-4553-852F-5220D2D72F68}"/>
            </a:ext>
          </a:extLst>
        </xdr:cNvPr>
        <xdr:cNvSpPr/>
      </xdr:nvSpPr>
      <xdr:spPr>
        <a:xfrm>
          <a:off x="134035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510</xdr:row>
      <xdr:rowOff>0</xdr:rowOff>
    </xdr:from>
    <xdr:to>
      <xdr:col>60</xdr:col>
      <xdr:colOff>83820</xdr:colOff>
      <xdr:row>510</xdr:row>
      <xdr:rowOff>114300</xdr:rowOff>
    </xdr:to>
    <xdr:sp macro="" textlink="">
      <xdr:nvSpPr>
        <xdr:cNvPr id="3707" name="Arrow: Down 3706">
          <a:extLst>
            <a:ext uri="{FF2B5EF4-FFF2-40B4-BE49-F238E27FC236}">
              <a16:creationId xmlns:a16="http://schemas.microsoft.com/office/drawing/2014/main" id="{90B9EFD7-5346-4177-9B35-832CCBFD8C07}"/>
            </a:ext>
          </a:extLst>
        </xdr:cNvPr>
        <xdr:cNvSpPr/>
      </xdr:nvSpPr>
      <xdr:spPr>
        <a:xfrm>
          <a:off x="190804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510</xdr:row>
      <xdr:rowOff>0</xdr:rowOff>
    </xdr:from>
    <xdr:to>
      <xdr:col>5</xdr:col>
      <xdr:colOff>83820</xdr:colOff>
      <xdr:row>510</xdr:row>
      <xdr:rowOff>114300</xdr:rowOff>
    </xdr:to>
    <xdr:sp macro="" textlink="">
      <xdr:nvSpPr>
        <xdr:cNvPr id="3709" name="Arrow: Down 3708">
          <a:extLst>
            <a:ext uri="{FF2B5EF4-FFF2-40B4-BE49-F238E27FC236}">
              <a16:creationId xmlns:a16="http://schemas.microsoft.com/office/drawing/2014/main" id="{49D432F5-5987-4556-89C3-231C886E9DCA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510</xdr:row>
      <xdr:rowOff>0</xdr:rowOff>
    </xdr:from>
    <xdr:to>
      <xdr:col>11</xdr:col>
      <xdr:colOff>83820</xdr:colOff>
      <xdr:row>510</xdr:row>
      <xdr:rowOff>114300</xdr:rowOff>
    </xdr:to>
    <xdr:sp macro="" textlink="">
      <xdr:nvSpPr>
        <xdr:cNvPr id="3711" name="Arrow: Down 3710">
          <a:extLst>
            <a:ext uri="{FF2B5EF4-FFF2-40B4-BE49-F238E27FC236}">
              <a16:creationId xmlns:a16="http://schemas.microsoft.com/office/drawing/2014/main" id="{97277CF6-10EE-4263-BD6D-47359EAA980C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510</xdr:row>
      <xdr:rowOff>0</xdr:rowOff>
    </xdr:from>
    <xdr:to>
      <xdr:col>24</xdr:col>
      <xdr:colOff>83820</xdr:colOff>
      <xdr:row>510</xdr:row>
      <xdr:rowOff>114300</xdr:rowOff>
    </xdr:to>
    <xdr:sp macro="" textlink="">
      <xdr:nvSpPr>
        <xdr:cNvPr id="3712" name="Arrow: Down 3711">
          <a:extLst>
            <a:ext uri="{FF2B5EF4-FFF2-40B4-BE49-F238E27FC236}">
              <a16:creationId xmlns:a16="http://schemas.microsoft.com/office/drawing/2014/main" id="{E46DA1E1-C42E-4364-9A97-2BB2EA8D7B58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510</xdr:row>
      <xdr:rowOff>0</xdr:rowOff>
    </xdr:from>
    <xdr:to>
      <xdr:col>71</xdr:col>
      <xdr:colOff>83820</xdr:colOff>
      <xdr:row>510</xdr:row>
      <xdr:rowOff>114300</xdr:rowOff>
    </xdr:to>
    <xdr:sp macro="" textlink="">
      <xdr:nvSpPr>
        <xdr:cNvPr id="3714" name="Arrow: Down 3713">
          <a:extLst>
            <a:ext uri="{FF2B5EF4-FFF2-40B4-BE49-F238E27FC236}">
              <a16:creationId xmlns:a16="http://schemas.microsoft.com/office/drawing/2014/main" id="{D175B4B4-C9D3-45A4-B8E1-C6A904FDE859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510</xdr:row>
      <xdr:rowOff>0</xdr:rowOff>
    </xdr:from>
    <xdr:to>
      <xdr:col>39</xdr:col>
      <xdr:colOff>83820</xdr:colOff>
      <xdr:row>510</xdr:row>
      <xdr:rowOff>114300</xdr:rowOff>
    </xdr:to>
    <xdr:sp macro="" textlink="">
      <xdr:nvSpPr>
        <xdr:cNvPr id="3721" name="Arrow: Down 3720">
          <a:extLst>
            <a:ext uri="{FF2B5EF4-FFF2-40B4-BE49-F238E27FC236}">
              <a16:creationId xmlns:a16="http://schemas.microsoft.com/office/drawing/2014/main" id="{A97919A6-E1A4-405C-8FB3-F086F0AA4F43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511</xdr:row>
      <xdr:rowOff>0</xdr:rowOff>
    </xdr:from>
    <xdr:to>
      <xdr:col>45</xdr:col>
      <xdr:colOff>83820</xdr:colOff>
      <xdr:row>511</xdr:row>
      <xdr:rowOff>114300</xdr:rowOff>
    </xdr:to>
    <xdr:sp macro="" textlink="">
      <xdr:nvSpPr>
        <xdr:cNvPr id="3745" name="Arrow: Down 3744">
          <a:extLst>
            <a:ext uri="{FF2B5EF4-FFF2-40B4-BE49-F238E27FC236}">
              <a16:creationId xmlns:a16="http://schemas.microsoft.com/office/drawing/2014/main" id="{38D96FD1-6D55-4797-9E85-77AE89B70EA7}"/>
            </a:ext>
          </a:extLst>
        </xdr:cNvPr>
        <xdr:cNvSpPr/>
      </xdr:nvSpPr>
      <xdr:spPr>
        <a:xfrm>
          <a:off x="134035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511</xdr:row>
      <xdr:rowOff>0</xdr:rowOff>
    </xdr:from>
    <xdr:to>
      <xdr:col>5</xdr:col>
      <xdr:colOff>83820</xdr:colOff>
      <xdr:row>511</xdr:row>
      <xdr:rowOff>114300</xdr:rowOff>
    </xdr:to>
    <xdr:sp macro="" textlink="">
      <xdr:nvSpPr>
        <xdr:cNvPr id="3749" name="Arrow: Down 3748">
          <a:extLst>
            <a:ext uri="{FF2B5EF4-FFF2-40B4-BE49-F238E27FC236}">
              <a16:creationId xmlns:a16="http://schemas.microsoft.com/office/drawing/2014/main" id="{B447331F-1C94-45C9-81B0-B4C71D424BC5}"/>
            </a:ext>
          </a:extLst>
        </xdr:cNvPr>
        <xdr:cNvSpPr/>
      </xdr:nvSpPr>
      <xdr:spPr>
        <a:xfrm rot="10800000">
          <a:off x="192786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511</xdr:row>
      <xdr:rowOff>0</xdr:rowOff>
    </xdr:from>
    <xdr:to>
      <xdr:col>11</xdr:col>
      <xdr:colOff>83820</xdr:colOff>
      <xdr:row>511</xdr:row>
      <xdr:rowOff>114300</xdr:rowOff>
    </xdr:to>
    <xdr:sp macro="" textlink="">
      <xdr:nvSpPr>
        <xdr:cNvPr id="3754" name="Arrow: Down 3753">
          <a:extLst>
            <a:ext uri="{FF2B5EF4-FFF2-40B4-BE49-F238E27FC236}">
              <a16:creationId xmlns:a16="http://schemas.microsoft.com/office/drawing/2014/main" id="{CF93DC43-D6B4-4F50-9AFF-87595F0AC0E1}"/>
            </a:ext>
          </a:extLst>
        </xdr:cNvPr>
        <xdr:cNvSpPr/>
      </xdr:nvSpPr>
      <xdr:spPr>
        <a:xfrm rot="10800000">
          <a:off x="36957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511</xdr:row>
      <xdr:rowOff>0</xdr:rowOff>
    </xdr:from>
    <xdr:to>
      <xdr:col>24</xdr:col>
      <xdr:colOff>83820</xdr:colOff>
      <xdr:row>511</xdr:row>
      <xdr:rowOff>114300</xdr:rowOff>
    </xdr:to>
    <xdr:sp macro="" textlink="">
      <xdr:nvSpPr>
        <xdr:cNvPr id="3755" name="Arrow: Down 3754">
          <a:extLst>
            <a:ext uri="{FF2B5EF4-FFF2-40B4-BE49-F238E27FC236}">
              <a16:creationId xmlns:a16="http://schemas.microsoft.com/office/drawing/2014/main" id="{78DBB87C-B265-46FB-BBDF-BFBFA6659040}"/>
            </a:ext>
          </a:extLst>
        </xdr:cNvPr>
        <xdr:cNvSpPr/>
      </xdr:nvSpPr>
      <xdr:spPr>
        <a:xfrm rot="10800000">
          <a:off x="83362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511</xdr:row>
      <xdr:rowOff>0</xdr:rowOff>
    </xdr:from>
    <xdr:to>
      <xdr:col>39</xdr:col>
      <xdr:colOff>83820</xdr:colOff>
      <xdr:row>511</xdr:row>
      <xdr:rowOff>114300</xdr:rowOff>
    </xdr:to>
    <xdr:sp macro="" textlink="">
      <xdr:nvSpPr>
        <xdr:cNvPr id="3757" name="Arrow: Down 3756">
          <a:extLst>
            <a:ext uri="{FF2B5EF4-FFF2-40B4-BE49-F238E27FC236}">
              <a16:creationId xmlns:a16="http://schemas.microsoft.com/office/drawing/2014/main" id="{1456C8B9-DF62-4704-9FC2-4C095FA72227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511</xdr:row>
      <xdr:rowOff>0</xdr:rowOff>
    </xdr:from>
    <xdr:to>
      <xdr:col>71</xdr:col>
      <xdr:colOff>83820</xdr:colOff>
      <xdr:row>511</xdr:row>
      <xdr:rowOff>114300</xdr:rowOff>
    </xdr:to>
    <xdr:sp macro="" textlink="">
      <xdr:nvSpPr>
        <xdr:cNvPr id="3760" name="Arrow: Down 3759">
          <a:extLst>
            <a:ext uri="{FF2B5EF4-FFF2-40B4-BE49-F238E27FC236}">
              <a16:creationId xmlns:a16="http://schemas.microsoft.com/office/drawing/2014/main" id="{CC833DBE-66D6-44F7-8EB0-A0DFF090127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511</xdr:row>
      <xdr:rowOff>0</xdr:rowOff>
    </xdr:from>
    <xdr:to>
      <xdr:col>60</xdr:col>
      <xdr:colOff>83820</xdr:colOff>
      <xdr:row>511</xdr:row>
      <xdr:rowOff>114300</xdr:rowOff>
    </xdr:to>
    <xdr:sp macro="" textlink="">
      <xdr:nvSpPr>
        <xdr:cNvPr id="3762" name="Arrow: Down 3761">
          <a:extLst>
            <a:ext uri="{FF2B5EF4-FFF2-40B4-BE49-F238E27FC236}">
              <a16:creationId xmlns:a16="http://schemas.microsoft.com/office/drawing/2014/main" id="{5547B8A4-8965-4AB2-87E9-57A39C0F7EF6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512</xdr:row>
      <xdr:rowOff>0</xdr:rowOff>
    </xdr:from>
    <xdr:to>
      <xdr:col>45</xdr:col>
      <xdr:colOff>83820</xdr:colOff>
      <xdr:row>512</xdr:row>
      <xdr:rowOff>114300</xdr:rowOff>
    </xdr:to>
    <xdr:sp macro="" textlink="">
      <xdr:nvSpPr>
        <xdr:cNvPr id="3764" name="Arrow: Down 3763">
          <a:extLst>
            <a:ext uri="{FF2B5EF4-FFF2-40B4-BE49-F238E27FC236}">
              <a16:creationId xmlns:a16="http://schemas.microsoft.com/office/drawing/2014/main" id="{41FB5D87-5A70-4B95-8A2A-3E9AD8E88E79}"/>
            </a:ext>
          </a:extLst>
        </xdr:cNvPr>
        <xdr:cNvSpPr/>
      </xdr:nvSpPr>
      <xdr:spPr>
        <a:xfrm>
          <a:off x="134035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83820</xdr:colOff>
      <xdr:row>512</xdr:row>
      <xdr:rowOff>114300</xdr:rowOff>
    </xdr:to>
    <xdr:sp macro="" textlink="">
      <xdr:nvSpPr>
        <xdr:cNvPr id="3765" name="Arrow: Down 3764">
          <a:extLst>
            <a:ext uri="{FF2B5EF4-FFF2-40B4-BE49-F238E27FC236}">
              <a16:creationId xmlns:a16="http://schemas.microsoft.com/office/drawing/2014/main" id="{5D97CBFA-27E1-4304-A45B-723DBC87B0D9}"/>
            </a:ext>
          </a:extLst>
        </xdr:cNvPr>
        <xdr:cNvSpPr/>
      </xdr:nvSpPr>
      <xdr:spPr>
        <a:xfrm rot="10800000">
          <a:off x="192786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512</xdr:row>
      <xdr:rowOff>0</xdr:rowOff>
    </xdr:from>
    <xdr:to>
      <xdr:col>11</xdr:col>
      <xdr:colOff>83820</xdr:colOff>
      <xdr:row>512</xdr:row>
      <xdr:rowOff>114300</xdr:rowOff>
    </xdr:to>
    <xdr:sp macro="" textlink="">
      <xdr:nvSpPr>
        <xdr:cNvPr id="3766" name="Arrow: Down 3765">
          <a:extLst>
            <a:ext uri="{FF2B5EF4-FFF2-40B4-BE49-F238E27FC236}">
              <a16:creationId xmlns:a16="http://schemas.microsoft.com/office/drawing/2014/main" id="{795B2D30-31A6-4FE1-8F7D-250AE22792D4}"/>
            </a:ext>
          </a:extLst>
        </xdr:cNvPr>
        <xdr:cNvSpPr/>
      </xdr:nvSpPr>
      <xdr:spPr>
        <a:xfrm rot="10800000">
          <a:off x="36957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512</xdr:row>
      <xdr:rowOff>0</xdr:rowOff>
    </xdr:from>
    <xdr:to>
      <xdr:col>39</xdr:col>
      <xdr:colOff>83820</xdr:colOff>
      <xdr:row>512</xdr:row>
      <xdr:rowOff>114300</xdr:rowOff>
    </xdr:to>
    <xdr:sp macro="" textlink="">
      <xdr:nvSpPr>
        <xdr:cNvPr id="3772" name="Arrow: Down 3771">
          <a:extLst>
            <a:ext uri="{FF2B5EF4-FFF2-40B4-BE49-F238E27FC236}">
              <a16:creationId xmlns:a16="http://schemas.microsoft.com/office/drawing/2014/main" id="{91B9A419-130F-48AD-87D6-D76AD2EBF095}"/>
            </a:ext>
          </a:extLst>
        </xdr:cNvPr>
        <xdr:cNvSpPr/>
      </xdr:nvSpPr>
      <xdr:spPr>
        <a:xfrm>
          <a:off x="115443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512</xdr:row>
      <xdr:rowOff>0</xdr:rowOff>
    </xdr:from>
    <xdr:to>
      <xdr:col>71</xdr:col>
      <xdr:colOff>83820</xdr:colOff>
      <xdr:row>512</xdr:row>
      <xdr:rowOff>114300</xdr:rowOff>
    </xdr:to>
    <xdr:sp macro="" textlink="">
      <xdr:nvSpPr>
        <xdr:cNvPr id="3773" name="Arrow: Down 3772">
          <a:extLst>
            <a:ext uri="{FF2B5EF4-FFF2-40B4-BE49-F238E27FC236}">
              <a16:creationId xmlns:a16="http://schemas.microsoft.com/office/drawing/2014/main" id="{B9CB268E-C010-4122-9836-B283EF06B26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512</xdr:row>
      <xdr:rowOff>0</xdr:rowOff>
    </xdr:from>
    <xdr:to>
      <xdr:col>60</xdr:col>
      <xdr:colOff>83820</xdr:colOff>
      <xdr:row>512</xdr:row>
      <xdr:rowOff>114300</xdr:rowOff>
    </xdr:to>
    <xdr:sp macro="" textlink="">
      <xdr:nvSpPr>
        <xdr:cNvPr id="3774" name="Arrow: Down 3773">
          <a:extLst>
            <a:ext uri="{FF2B5EF4-FFF2-40B4-BE49-F238E27FC236}">
              <a16:creationId xmlns:a16="http://schemas.microsoft.com/office/drawing/2014/main" id="{426AB16C-4950-4B37-8758-460E936F2245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512</xdr:row>
      <xdr:rowOff>0</xdr:rowOff>
    </xdr:from>
    <xdr:to>
      <xdr:col>24</xdr:col>
      <xdr:colOff>83820</xdr:colOff>
      <xdr:row>512</xdr:row>
      <xdr:rowOff>114300</xdr:rowOff>
    </xdr:to>
    <xdr:sp macro="" textlink="">
      <xdr:nvSpPr>
        <xdr:cNvPr id="3775" name="Arrow: Down 3774">
          <a:extLst>
            <a:ext uri="{FF2B5EF4-FFF2-40B4-BE49-F238E27FC236}">
              <a16:creationId xmlns:a16="http://schemas.microsoft.com/office/drawing/2014/main" id="{67F62FB7-2910-431F-8A48-CF24C59DC8C1}"/>
            </a:ext>
          </a:extLst>
        </xdr:cNvPr>
        <xdr:cNvSpPr/>
      </xdr:nvSpPr>
      <xdr:spPr>
        <a:xfrm>
          <a:off x="8336280" y="9373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513</xdr:row>
      <xdr:rowOff>0</xdr:rowOff>
    </xdr:from>
    <xdr:to>
      <xdr:col>45</xdr:col>
      <xdr:colOff>83820</xdr:colOff>
      <xdr:row>513</xdr:row>
      <xdr:rowOff>114300</xdr:rowOff>
    </xdr:to>
    <xdr:sp macro="" textlink="">
      <xdr:nvSpPr>
        <xdr:cNvPr id="3776" name="Arrow: Down 3775">
          <a:extLst>
            <a:ext uri="{FF2B5EF4-FFF2-40B4-BE49-F238E27FC236}">
              <a16:creationId xmlns:a16="http://schemas.microsoft.com/office/drawing/2014/main" id="{32087E1C-9A4F-447F-B66C-7A700C9E0AC0}"/>
            </a:ext>
          </a:extLst>
        </xdr:cNvPr>
        <xdr:cNvSpPr/>
      </xdr:nvSpPr>
      <xdr:spPr>
        <a:xfrm>
          <a:off x="134035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513</xdr:row>
      <xdr:rowOff>0</xdr:rowOff>
    </xdr:from>
    <xdr:to>
      <xdr:col>5</xdr:col>
      <xdr:colOff>83820</xdr:colOff>
      <xdr:row>513</xdr:row>
      <xdr:rowOff>114300</xdr:rowOff>
    </xdr:to>
    <xdr:sp macro="" textlink="">
      <xdr:nvSpPr>
        <xdr:cNvPr id="3777" name="Arrow: Down 3776">
          <a:extLst>
            <a:ext uri="{FF2B5EF4-FFF2-40B4-BE49-F238E27FC236}">
              <a16:creationId xmlns:a16="http://schemas.microsoft.com/office/drawing/2014/main" id="{215A0471-243C-4189-96E4-08A477A3EE89}"/>
            </a:ext>
          </a:extLst>
        </xdr:cNvPr>
        <xdr:cNvSpPr/>
      </xdr:nvSpPr>
      <xdr:spPr>
        <a:xfrm rot="10800000">
          <a:off x="192786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513</xdr:row>
      <xdr:rowOff>0</xdr:rowOff>
    </xdr:from>
    <xdr:to>
      <xdr:col>11</xdr:col>
      <xdr:colOff>83820</xdr:colOff>
      <xdr:row>513</xdr:row>
      <xdr:rowOff>114300</xdr:rowOff>
    </xdr:to>
    <xdr:sp macro="" textlink="">
      <xdr:nvSpPr>
        <xdr:cNvPr id="3778" name="Arrow: Down 3777">
          <a:extLst>
            <a:ext uri="{FF2B5EF4-FFF2-40B4-BE49-F238E27FC236}">
              <a16:creationId xmlns:a16="http://schemas.microsoft.com/office/drawing/2014/main" id="{19A3049A-AA93-4FEB-B099-1128220F36D9}"/>
            </a:ext>
          </a:extLst>
        </xdr:cNvPr>
        <xdr:cNvSpPr/>
      </xdr:nvSpPr>
      <xdr:spPr>
        <a:xfrm rot="10800000">
          <a:off x="369570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513</xdr:row>
      <xdr:rowOff>0</xdr:rowOff>
    </xdr:from>
    <xdr:to>
      <xdr:col>71</xdr:col>
      <xdr:colOff>83820</xdr:colOff>
      <xdr:row>513</xdr:row>
      <xdr:rowOff>114300</xdr:rowOff>
    </xdr:to>
    <xdr:sp macro="" textlink="">
      <xdr:nvSpPr>
        <xdr:cNvPr id="3780" name="Arrow: Down 3779">
          <a:extLst>
            <a:ext uri="{FF2B5EF4-FFF2-40B4-BE49-F238E27FC236}">
              <a16:creationId xmlns:a16="http://schemas.microsoft.com/office/drawing/2014/main" id="{F8E3E1F6-13DE-4F43-BCFE-B814DC31053A}"/>
            </a:ext>
          </a:extLst>
        </xdr:cNvPr>
        <xdr:cNvSpPr/>
      </xdr:nvSpPr>
      <xdr:spPr>
        <a:xfrm rot="10800000">
          <a:off x="216331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513</xdr:row>
      <xdr:rowOff>0</xdr:rowOff>
    </xdr:from>
    <xdr:to>
      <xdr:col>24</xdr:col>
      <xdr:colOff>83820</xdr:colOff>
      <xdr:row>513</xdr:row>
      <xdr:rowOff>114300</xdr:rowOff>
    </xdr:to>
    <xdr:sp macro="" textlink="">
      <xdr:nvSpPr>
        <xdr:cNvPr id="3784" name="Arrow: Down 3783">
          <a:extLst>
            <a:ext uri="{FF2B5EF4-FFF2-40B4-BE49-F238E27FC236}">
              <a16:creationId xmlns:a16="http://schemas.microsoft.com/office/drawing/2014/main" id="{4E4EBA04-B6EB-432D-B47F-ADA14C56C1FF}"/>
            </a:ext>
          </a:extLst>
        </xdr:cNvPr>
        <xdr:cNvSpPr/>
      </xdr:nvSpPr>
      <xdr:spPr>
        <a:xfrm rot="10800000">
          <a:off x="83362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513</xdr:row>
      <xdr:rowOff>0</xdr:rowOff>
    </xdr:from>
    <xdr:to>
      <xdr:col>39</xdr:col>
      <xdr:colOff>83820</xdr:colOff>
      <xdr:row>513</xdr:row>
      <xdr:rowOff>114300</xdr:rowOff>
    </xdr:to>
    <xdr:sp macro="" textlink="">
      <xdr:nvSpPr>
        <xdr:cNvPr id="3786" name="Arrow: Down 3785">
          <a:extLst>
            <a:ext uri="{FF2B5EF4-FFF2-40B4-BE49-F238E27FC236}">
              <a16:creationId xmlns:a16="http://schemas.microsoft.com/office/drawing/2014/main" id="{F96C4706-0DE8-4694-A30A-757463513A68}"/>
            </a:ext>
          </a:extLst>
        </xdr:cNvPr>
        <xdr:cNvSpPr/>
      </xdr:nvSpPr>
      <xdr:spPr>
        <a:xfrm rot="10800000">
          <a:off x="1154430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513</xdr:row>
      <xdr:rowOff>0</xdr:rowOff>
    </xdr:from>
    <xdr:to>
      <xdr:col>60</xdr:col>
      <xdr:colOff>83820</xdr:colOff>
      <xdr:row>513</xdr:row>
      <xdr:rowOff>114300</xdr:rowOff>
    </xdr:to>
    <xdr:sp macro="" textlink="">
      <xdr:nvSpPr>
        <xdr:cNvPr id="3801" name="Arrow: Down 3800">
          <a:extLst>
            <a:ext uri="{FF2B5EF4-FFF2-40B4-BE49-F238E27FC236}">
              <a16:creationId xmlns:a16="http://schemas.microsoft.com/office/drawing/2014/main" id="{190D90A4-92B8-45CB-8F9D-858298058EF5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514</xdr:row>
      <xdr:rowOff>0</xdr:rowOff>
    </xdr:from>
    <xdr:to>
      <xdr:col>45</xdr:col>
      <xdr:colOff>83820</xdr:colOff>
      <xdr:row>514</xdr:row>
      <xdr:rowOff>114300</xdr:rowOff>
    </xdr:to>
    <xdr:sp macro="" textlink="">
      <xdr:nvSpPr>
        <xdr:cNvPr id="3804" name="Arrow: Down 3803">
          <a:extLst>
            <a:ext uri="{FF2B5EF4-FFF2-40B4-BE49-F238E27FC236}">
              <a16:creationId xmlns:a16="http://schemas.microsoft.com/office/drawing/2014/main" id="{D203F449-026C-4F25-AE6C-3732B4786D3F}"/>
            </a:ext>
          </a:extLst>
        </xdr:cNvPr>
        <xdr:cNvSpPr/>
      </xdr:nvSpPr>
      <xdr:spPr>
        <a:xfrm>
          <a:off x="134035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514</xdr:row>
      <xdr:rowOff>0</xdr:rowOff>
    </xdr:from>
    <xdr:to>
      <xdr:col>71</xdr:col>
      <xdr:colOff>83820</xdr:colOff>
      <xdr:row>514</xdr:row>
      <xdr:rowOff>114300</xdr:rowOff>
    </xdr:to>
    <xdr:sp macro="" textlink="">
      <xdr:nvSpPr>
        <xdr:cNvPr id="3811" name="Arrow: Down 3810">
          <a:extLst>
            <a:ext uri="{FF2B5EF4-FFF2-40B4-BE49-F238E27FC236}">
              <a16:creationId xmlns:a16="http://schemas.microsoft.com/office/drawing/2014/main" id="{5D7F0CDA-57C2-4C03-ABD5-EA72BDD61BFF}"/>
            </a:ext>
          </a:extLst>
        </xdr:cNvPr>
        <xdr:cNvSpPr/>
      </xdr:nvSpPr>
      <xdr:spPr>
        <a:xfrm rot="10800000">
          <a:off x="216331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514</xdr:row>
      <xdr:rowOff>0</xdr:rowOff>
    </xdr:from>
    <xdr:to>
      <xdr:col>60</xdr:col>
      <xdr:colOff>83820</xdr:colOff>
      <xdr:row>514</xdr:row>
      <xdr:rowOff>114300</xdr:rowOff>
    </xdr:to>
    <xdr:sp macro="" textlink="">
      <xdr:nvSpPr>
        <xdr:cNvPr id="3818" name="Arrow: Down 3817">
          <a:extLst>
            <a:ext uri="{FF2B5EF4-FFF2-40B4-BE49-F238E27FC236}">
              <a16:creationId xmlns:a16="http://schemas.microsoft.com/office/drawing/2014/main" id="{B771A243-1324-4B77-8E55-5970E4E8CC08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514</xdr:row>
      <xdr:rowOff>0</xdr:rowOff>
    </xdr:from>
    <xdr:to>
      <xdr:col>39</xdr:col>
      <xdr:colOff>83820</xdr:colOff>
      <xdr:row>514</xdr:row>
      <xdr:rowOff>114300</xdr:rowOff>
    </xdr:to>
    <xdr:sp macro="" textlink="">
      <xdr:nvSpPr>
        <xdr:cNvPr id="3820" name="Arrow: Down 3819">
          <a:extLst>
            <a:ext uri="{FF2B5EF4-FFF2-40B4-BE49-F238E27FC236}">
              <a16:creationId xmlns:a16="http://schemas.microsoft.com/office/drawing/2014/main" id="{3FB38879-3181-4F4F-8982-DBF1EECBC2F5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514</xdr:row>
      <xdr:rowOff>0</xdr:rowOff>
    </xdr:from>
    <xdr:to>
      <xdr:col>5</xdr:col>
      <xdr:colOff>83820</xdr:colOff>
      <xdr:row>514</xdr:row>
      <xdr:rowOff>114300</xdr:rowOff>
    </xdr:to>
    <xdr:sp macro="" textlink="">
      <xdr:nvSpPr>
        <xdr:cNvPr id="3821" name="Arrow: Down 3820">
          <a:extLst>
            <a:ext uri="{FF2B5EF4-FFF2-40B4-BE49-F238E27FC236}">
              <a16:creationId xmlns:a16="http://schemas.microsoft.com/office/drawing/2014/main" id="{D7FE6C69-5A5A-4A25-A44A-F937E53F1F21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514</xdr:row>
      <xdr:rowOff>0</xdr:rowOff>
    </xdr:from>
    <xdr:to>
      <xdr:col>11</xdr:col>
      <xdr:colOff>83820</xdr:colOff>
      <xdr:row>514</xdr:row>
      <xdr:rowOff>114300</xdr:rowOff>
    </xdr:to>
    <xdr:sp macro="" textlink="">
      <xdr:nvSpPr>
        <xdr:cNvPr id="3822" name="Arrow: Down 3821">
          <a:extLst>
            <a:ext uri="{FF2B5EF4-FFF2-40B4-BE49-F238E27FC236}">
              <a16:creationId xmlns:a16="http://schemas.microsoft.com/office/drawing/2014/main" id="{710D1823-0A72-4CBD-A76D-89D10E2F1CF2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514</xdr:row>
      <xdr:rowOff>0</xdr:rowOff>
    </xdr:from>
    <xdr:to>
      <xdr:col>24</xdr:col>
      <xdr:colOff>83820</xdr:colOff>
      <xdr:row>514</xdr:row>
      <xdr:rowOff>114300</xdr:rowOff>
    </xdr:to>
    <xdr:sp macro="" textlink="">
      <xdr:nvSpPr>
        <xdr:cNvPr id="3823" name="Arrow: Down 3822">
          <a:extLst>
            <a:ext uri="{FF2B5EF4-FFF2-40B4-BE49-F238E27FC236}">
              <a16:creationId xmlns:a16="http://schemas.microsoft.com/office/drawing/2014/main" id="{40B45EC2-155B-408A-89B9-8FE3D6B36A0C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515</xdr:row>
      <xdr:rowOff>0</xdr:rowOff>
    </xdr:from>
    <xdr:to>
      <xdr:col>45</xdr:col>
      <xdr:colOff>83820</xdr:colOff>
      <xdr:row>515</xdr:row>
      <xdr:rowOff>114300</xdr:rowOff>
    </xdr:to>
    <xdr:sp macro="" textlink="">
      <xdr:nvSpPr>
        <xdr:cNvPr id="3828" name="Arrow: Down 3827">
          <a:extLst>
            <a:ext uri="{FF2B5EF4-FFF2-40B4-BE49-F238E27FC236}">
              <a16:creationId xmlns:a16="http://schemas.microsoft.com/office/drawing/2014/main" id="{E7D2752C-62EA-4B4B-8A44-7A272BDB8659}"/>
            </a:ext>
          </a:extLst>
        </xdr:cNvPr>
        <xdr:cNvSpPr/>
      </xdr:nvSpPr>
      <xdr:spPr>
        <a:xfrm>
          <a:off x="1340358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515</xdr:row>
      <xdr:rowOff>0</xdr:rowOff>
    </xdr:from>
    <xdr:to>
      <xdr:col>60</xdr:col>
      <xdr:colOff>83820</xdr:colOff>
      <xdr:row>515</xdr:row>
      <xdr:rowOff>114300</xdr:rowOff>
    </xdr:to>
    <xdr:sp macro="" textlink="">
      <xdr:nvSpPr>
        <xdr:cNvPr id="3833" name="Arrow: Down 3832">
          <a:extLst>
            <a:ext uri="{FF2B5EF4-FFF2-40B4-BE49-F238E27FC236}">
              <a16:creationId xmlns:a16="http://schemas.microsoft.com/office/drawing/2014/main" id="{3F56D210-36B2-4469-9BA7-93A15EF7F07E}"/>
            </a:ext>
          </a:extLst>
        </xdr:cNvPr>
        <xdr:cNvSpPr/>
      </xdr:nvSpPr>
      <xdr:spPr>
        <a:xfrm>
          <a:off x="190804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515</xdr:row>
      <xdr:rowOff>0</xdr:rowOff>
    </xdr:from>
    <xdr:to>
      <xdr:col>39</xdr:col>
      <xdr:colOff>83820</xdr:colOff>
      <xdr:row>515</xdr:row>
      <xdr:rowOff>114300</xdr:rowOff>
    </xdr:to>
    <xdr:sp macro="" textlink="">
      <xdr:nvSpPr>
        <xdr:cNvPr id="3834" name="Arrow: Down 3833">
          <a:extLst>
            <a:ext uri="{FF2B5EF4-FFF2-40B4-BE49-F238E27FC236}">
              <a16:creationId xmlns:a16="http://schemas.microsoft.com/office/drawing/2014/main" id="{99715FDD-44A4-45CA-BE08-CF66796DB891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515</xdr:row>
      <xdr:rowOff>0</xdr:rowOff>
    </xdr:from>
    <xdr:to>
      <xdr:col>5</xdr:col>
      <xdr:colOff>83820</xdr:colOff>
      <xdr:row>515</xdr:row>
      <xdr:rowOff>114300</xdr:rowOff>
    </xdr:to>
    <xdr:sp macro="" textlink="">
      <xdr:nvSpPr>
        <xdr:cNvPr id="3835" name="Arrow: Down 3834">
          <a:extLst>
            <a:ext uri="{FF2B5EF4-FFF2-40B4-BE49-F238E27FC236}">
              <a16:creationId xmlns:a16="http://schemas.microsoft.com/office/drawing/2014/main" id="{ADA0ADDB-FF06-460C-8352-8FDDB63D25A3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515</xdr:row>
      <xdr:rowOff>0</xdr:rowOff>
    </xdr:from>
    <xdr:to>
      <xdr:col>11</xdr:col>
      <xdr:colOff>83820</xdr:colOff>
      <xdr:row>515</xdr:row>
      <xdr:rowOff>114300</xdr:rowOff>
    </xdr:to>
    <xdr:sp macro="" textlink="">
      <xdr:nvSpPr>
        <xdr:cNvPr id="3839" name="Arrow: Down 3838">
          <a:extLst>
            <a:ext uri="{FF2B5EF4-FFF2-40B4-BE49-F238E27FC236}">
              <a16:creationId xmlns:a16="http://schemas.microsoft.com/office/drawing/2014/main" id="{81FEA34F-5916-4B37-9ABE-12EB4E59F836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515</xdr:row>
      <xdr:rowOff>0</xdr:rowOff>
    </xdr:from>
    <xdr:to>
      <xdr:col>24</xdr:col>
      <xdr:colOff>83820</xdr:colOff>
      <xdr:row>515</xdr:row>
      <xdr:rowOff>114300</xdr:rowOff>
    </xdr:to>
    <xdr:sp macro="" textlink="">
      <xdr:nvSpPr>
        <xdr:cNvPr id="3842" name="Arrow: Down 3841">
          <a:extLst>
            <a:ext uri="{FF2B5EF4-FFF2-40B4-BE49-F238E27FC236}">
              <a16:creationId xmlns:a16="http://schemas.microsoft.com/office/drawing/2014/main" id="{46262146-6D20-4530-AA97-88665B5B07CE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515</xdr:row>
      <xdr:rowOff>0</xdr:rowOff>
    </xdr:from>
    <xdr:to>
      <xdr:col>71</xdr:col>
      <xdr:colOff>83820</xdr:colOff>
      <xdr:row>515</xdr:row>
      <xdr:rowOff>114300</xdr:rowOff>
    </xdr:to>
    <xdr:sp macro="" textlink="">
      <xdr:nvSpPr>
        <xdr:cNvPr id="3844" name="Arrow: Down 3843">
          <a:extLst>
            <a:ext uri="{FF2B5EF4-FFF2-40B4-BE49-F238E27FC236}">
              <a16:creationId xmlns:a16="http://schemas.microsoft.com/office/drawing/2014/main" id="{9E6F32C4-4D82-4FB8-B0FC-0CE78BB2A886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516</xdr:row>
      <xdr:rowOff>0</xdr:rowOff>
    </xdr:from>
    <xdr:to>
      <xdr:col>45</xdr:col>
      <xdr:colOff>83820</xdr:colOff>
      <xdr:row>516</xdr:row>
      <xdr:rowOff>114300</xdr:rowOff>
    </xdr:to>
    <xdr:sp macro="" textlink="">
      <xdr:nvSpPr>
        <xdr:cNvPr id="3671" name="Arrow: Down 3670">
          <a:extLst>
            <a:ext uri="{FF2B5EF4-FFF2-40B4-BE49-F238E27FC236}">
              <a16:creationId xmlns:a16="http://schemas.microsoft.com/office/drawing/2014/main" id="{84F7631C-7F69-4D88-8F85-8F140957C855}"/>
            </a:ext>
          </a:extLst>
        </xdr:cNvPr>
        <xdr:cNvSpPr/>
      </xdr:nvSpPr>
      <xdr:spPr>
        <a:xfrm>
          <a:off x="13403580" y="9428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516</xdr:row>
      <xdr:rowOff>0</xdr:rowOff>
    </xdr:from>
    <xdr:to>
      <xdr:col>71</xdr:col>
      <xdr:colOff>83820</xdr:colOff>
      <xdr:row>516</xdr:row>
      <xdr:rowOff>114300</xdr:rowOff>
    </xdr:to>
    <xdr:sp macro="" textlink="">
      <xdr:nvSpPr>
        <xdr:cNvPr id="3736" name="Arrow: Down 3735">
          <a:extLst>
            <a:ext uri="{FF2B5EF4-FFF2-40B4-BE49-F238E27FC236}">
              <a16:creationId xmlns:a16="http://schemas.microsoft.com/office/drawing/2014/main" id="{53F999F7-D7E9-47F9-9E79-F648729E87A5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516</xdr:row>
      <xdr:rowOff>0</xdr:rowOff>
    </xdr:from>
    <xdr:to>
      <xdr:col>39</xdr:col>
      <xdr:colOff>83820</xdr:colOff>
      <xdr:row>516</xdr:row>
      <xdr:rowOff>114300</xdr:rowOff>
    </xdr:to>
    <xdr:sp macro="" textlink="">
      <xdr:nvSpPr>
        <xdr:cNvPr id="3740" name="Arrow: Down 3739">
          <a:extLst>
            <a:ext uri="{FF2B5EF4-FFF2-40B4-BE49-F238E27FC236}">
              <a16:creationId xmlns:a16="http://schemas.microsoft.com/office/drawing/2014/main" id="{F5F0C135-0C59-40EC-928C-33C593ED4C46}"/>
            </a:ext>
          </a:extLst>
        </xdr:cNvPr>
        <xdr:cNvSpPr/>
      </xdr:nvSpPr>
      <xdr:spPr>
        <a:xfrm rot="10800000">
          <a:off x="11544300" y="9446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516</xdr:row>
      <xdr:rowOff>0</xdr:rowOff>
    </xdr:from>
    <xdr:to>
      <xdr:col>5</xdr:col>
      <xdr:colOff>83820</xdr:colOff>
      <xdr:row>516</xdr:row>
      <xdr:rowOff>114300</xdr:rowOff>
    </xdr:to>
    <xdr:sp macro="" textlink="">
      <xdr:nvSpPr>
        <xdr:cNvPr id="3743" name="Arrow: Down 3742">
          <a:extLst>
            <a:ext uri="{FF2B5EF4-FFF2-40B4-BE49-F238E27FC236}">
              <a16:creationId xmlns:a16="http://schemas.microsoft.com/office/drawing/2014/main" id="{76140EAE-9580-4ACB-B678-E7D8C653A7B2}"/>
            </a:ext>
          </a:extLst>
        </xdr:cNvPr>
        <xdr:cNvSpPr/>
      </xdr:nvSpPr>
      <xdr:spPr>
        <a:xfrm rot="10800000">
          <a:off x="192786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516</xdr:row>
      <xdr:rowOff>0</xdr:rowOff>
    </xdr:from>
    <xdr:to>
      <xdr:col>11</xdr:col>
      <xdr:colOff>83820</xdr:colOff>
      <xdr:row>516</xdr:row>
      <xdr:rowOff>114300</xdr:rowOff>
    </xdr:to>
    <xdr:sp macro="" textlink="">
      <xdr:nvSpPr>
        <xdr:cNvPr id="3756" name="Arrow: Down 3755">
          <a:extLst>
            <a:ext uri="{FF2B5EF4-FFF2-40B4-BE49-F238E27FC236}">
              <a16:creationId xmlns:a16="http://schemas.microsoft.com/office/drawing/2014/main" id="{C4F1BB63-E21C-4A10-B4BC-F05D312F16F2}"/>
            </a:ext>
          </a:extLst>
        </xdr:cNvPr>
        <xdr:cNvSpPr/>
      </xdr:nvSpPr>
      <xdr:spPr>
        <a:xfrm rot="10800000">
          <a:off x="369570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516</xdr:row>
      <xdr:rowOff>0</xdr:rowOff>
    </xdr:from>
    <xdr:to>
      <xdr:col>24</xdr:col>
      <xdr:colOff>83820</xdr:colOff>
      <xdr:row>516</xdr:row>
      <xdr:rowOff>114300</xdr:rowOff>
    </xdr:to>
    <xdr:sp macro="" textlink="">
      <xdr:nvSpPr>
        <xdr:cNvPr id="3779" name="Arrow: Down 3778">
          <a:extLst>
            <a:ext uri="{FF2B5EF4-FFF2-40B4-BE49-F238E27FC236}">
              <a16:creationId xmlns:a16="http://schemas.microsoft.com/office/drawing/2014/main" id="{C7850EB8-3A4F-4E52-8484-9FD1E7786223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517</xdr:row>
      <xdr:rowOff>0</xdr:rowOff>
    </xdr:from>
    <xdr:to>
      <xdr:col>45</xdr:col>
      <xdr:colOff>83820</xdr:colOff>
      <xdr:row>517</xdr:row>
      <xdr:rowOff>114300</xdr:rowOff>
    </xdr:to>
    <xdr:sp macro="" textlink="">
      <xdr:nvSpPr>
        <xdr:cNvPr id="3781" name="Arrow: Down 3780">
          <a:extLst>
            <a:ext uri="{FF2B5EF4-FFF2-40B4-BE49-F238E27FC236}">
              <a16:creationId xmlns:a16="http://schemas.microsoft.com/office/drawing/2014/main" id="{BC32666A-1108-40F8-B40D-65C47C028B33}"/>
            </a:ext>
          </a:extLst>
        </xdr:cNvPr>
        <xdr:cNvSpPr/>
      </xdr:nvSpPr>
      <xdr:spPr>
        <a:xfrm>
          <a:off x="134035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517</xdr:row>
      <xdr:rowOff>0</xdr:rowOff>
    </xdr:from>
    <xdr:to>
      <xdr:col>24</xdr:col>
      <xdr:colOff>83820</xdr:colOff>
      <xdr:row>517</xdr:row>
      <xdr:rowOff>114300</xdr:rowOff>
    </xdr:to>
    <xdr:sp macro="" textlink="">
      <xdr:nvSpPr>
        <xdr:cNvPr id="3817" name="Arrow: Down 3816">
          <a:extLst>
            <a:ext uri="{FF2B5EF4-FFF2-40B4-BE49-F238E27FC236}">
              <a16:creationId xmlns:a16="http://schemas.microsoft.com/office/drawing/2014/main" id="{915B14F1-0A6D-4A39-ACE7-7BF9051F4C4B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517</xdr:row>
      <xdr:rowOff>0</xdr:rowOff>
    </xdr:from>
    <xdr:to>
      <xdr:col>5</xdr:col>
      <xdr:colOff>83820</xdr:colOff>
      <xdr:row>517</xdr:row>
      <xdr:rowOff>114300</xdr:rowOff>
    </xdr:to>
    <xdr:sp macro="" textlink="">
      <xdr:nvSpPr>
        <xdr:cNvPr id="3819" name="Arrow: Down 3818">
          <a:extLst>
            <a:ext uri="{FF2B5EF4-FFF2-40B4-BE49-F238E27FC236}">
              <a16:creationId xmlns:a16="http://schemas.microsoft.com/office/drawing/2014/main" id="{5A51F690-D763-4B2C-A267-DD8D00E8D6DF}"/>
            </a:ext>
          </a:extLst>
        </xdr:cNvPr>
        <xdr:cNvSpPr/>
      </xdr:nvSpPr>
      <xdr:spPr>
        <a:xfrm>
          <a:off x="192786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517</xdr:row>
      <xdr:rowOff>0</xdr:rowOff>
    </xdr:from>
    <xdr:to>
      <xdr:col>11</xdr:col>
      <xdr:colOff>83820</xdr:colOff>
      <xdr:row>517</xdr:row>
      <xdr:rowOff>114300</xdr:rowOff>
    </xdr:to>
    <xdr:sp macro="" textlink="">
      <xdr:nvSpPr>
        <xdr:cNvPr id="3830" name="Arrow: Down 3829">
          <a:extLst>
            <a:ext uri="{FF2B5EF4-FFF2-40B4-BE49-F238E27FC236}">
              <a16:creationId xmlns:a16="http://schemas.microsoft.com/office/drawing/2014/main" id="{8DD2833D-5D82-4863-A4D4-A291B25BA245}"/>
            </a:ext>
          </a:extLst>
        </xdr:cNvPr>
        <xdr:cNvSpPr/>
      </xdr:nvSpPr>
      <xdr:spPr>
        <a:xfrm>
          <a:off x="369570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517</xdr:row>
      <xdr:rowOff>0</xdr:rowOff>
    </xdr:from>
    <xdr:to>
      <xdr:col>39</xdr:col>
      <xdr:colOff>83820</xdr:colOff>
      <xdr:row>517</xdr:row>
      <xdr:rowOff>114300</xdr:rowOff>
    </xdr:to>
    <xdr:sp macro="" textlink="">
      <xdr:nvSpPr>
        <xdr:cNvPr id="3845" name="Arrow: Down 3844">
          <a:extLst>
            <a:ext uri="{FF2B5EF4-FFF2-40B4-BE49-F238E27FC236}">
              <a16:creationId xmlns:a16="http://schemas.microsoft.com/office/drawing/2014/main" id="{51FC16DF-B26C-4899-B30D-2996A6805613}"/>
            </a:ext>
          </a:extLst>
        </xdr:cNvPr>
        <xdr:cNvSpPr/>
      </xdr:nvSpPr>
      <xdr:spPr>
        <a:xfrm>
          <a:off x="1154430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517</xdr:row>
      <xdr:rowOff>0</xdr:rowOff>
    </xdr:from>
    <xdr:to>
      <xdr:col>71</xdr:col>
      <xdr:colOff>83820</xdr:colOff>
      <xdr:row>517</xdr:row>
      <xdr:rowOff>114300</xdr:rowOff>
    </xdr:to>
    <xdr:sp macro="" textlink="">
      <xdr:nvSpPr>
        <xdr:cNvPr id="3847" name="Arrow: Down 3846">
          <a:extLst>
            <a:ext uri="{FF2B5EF4-FFF2-40B4-BE49-F238E27FC236}">
              <a16:creationId xmlns:a16="http://schemas.microsoft.com/office/drawing/2014/main" id="{AA4DC3B3-5088-43F4-B03F-02F15233C2D9}"/>
            </a:ext>
          </a:extLst>
        </xdr:cNvPr>
        <xdr:cNvSpPr/>
      </xdr:nvSpPr>
      <xdr:spPr>
        <a:xfrm rot="10800000">
          <a:off x="216331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516</xdr:row>
      <xdr:rowOff>0</xdr:rowOff>
    </xdr:from>
    <xdr:to>
      <xdr:col>60</xdr:col>
      <xdr:colOff>83820</xdr:colOff>
      <xdr:row>516</xdr:row>
      <xdr:rowOff>114300</xdr:rowOff>
    </xdr:to>
    <xdr:sp macro="" textlink="">
      <xdr:nvSpPr>
        <xdr:cNvPr id="3853" name="Arrow: Down 3852">
          <a:extLst>
            <a:ext uri="{FF2B5EF4-FFF2-40B4-BE49-F238E27FC236}">
              <a16:creationId xmlns:a16="http://schemas.microsoft.com/office/drawing/2014/main" id="{429A9168-536D-41B0-A665-95E56CF1012F}"/>
            </a:ext>
          </a:extLst>
        </xdr:cNvPr>
        <xdr:cNvSpPr/>
      </xdr:nvSpPr>
      <xdr:spPr>
        <a:xfrm rot="10800000">
          <a:off x="190804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517</xdr:row>
      <xdr:rowOff>0</xdr:rowOff>
    </xdr:from>
    <xdr:to>
      <xdr:col>60</xdr:col>
      <xdr:colOff>83820</xdr:colOff>
      <xdr:row>517</xdr:row>
      <xdr:rowOff>114300</xdr:rowOff>
    </xdr:to>
    <xdr:sp macro="" textlink="">
      <xdr:nvSpPr>
        <xdr:cNvPr id="3858" name="Arrow: Down 3857">
          <a:extLst>
            <a:ext uri="{FF2B5EF4-FFF2-40B4-BE49-F238E27FC236}">
              <a16:creationId xmlns:a16="http://schemas.microsoft.com/office/drawing/2014/main" id="{C048CF89-A667-4FBC-8DB5-A78741342DC3}"/>
            </a:ext>
          </a:extLst>
        </xdr:cNvPr>
        <xdr:cNvSpPr/>
      </xdr:nvSpPr>
      <xdr:spPr>
        <a:xfrm rot="10800000">
          <a:off x="190804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518</xdr:row>
      <xdr:rowOff>0</xdr:rowOff>
    </xdr:from>
    <xdr:to>
      <xdr:col>45</xdr:col>
      <xdr:colOff>83820</xdr:colOff>
      <xdr:row>518</xdr:row>
      <xdr:rowOff>114300</xdr:rowOff>
    </xdr:to>
    <xdr:sp macro="" textlink="">
      <xdr:nvSpPr>
        <xdr:cNvPr id="3875" name="Arrow: Down 3874">
          <a:extLst>
            <a:ext uri="{FF2B5EF4-FFF2-40B4-BE49-F238E27FC236}">
              <a16:creationId xmlns:a16="http://schemas.microsoft.com/office/drawing/2014/main" id="{E843CA67-29DC-4054-B453-D9EDE662AD6B}"/>
            </a:ext>
          </a:extLst>
        </xdr:cNvPr>
        <xdr:cNvSpPr/>
      </xdr:nvSpPr>
      <xdr:spPr>
        <a:xfrm>
          <a:off x="134035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518</xdr:row>
      <xdr:rowOff>0</xdr:rowOff>
    </xdr:from>
    <xdr:to>
      <xdr:col>60</xdr:col>
      <xdr:colOff>83820</xdr:colOff>
      <xdr:row>518</xdr:row>
      <xdr:rowOff>114300</xdr:rowOff>
    </xdr:to>
    <xdr:sp macro="" textlink="">
      <xdr:nvSpPr>
        <xdr:cNvPr id="3894" name="Arrow: Down 3893">
          <a:extLst>
            <a:ext uri="{FF2B5EF4-FFF2-40B4-BE49-F238E27FC236}">
              <a16:creationId xmlns:a16="http://schemas.microsoft.com/office/drawing/2014/main" id="{52E8FC8E-844F-4D6F-B1BA-E6807072C10D}"/>
            </a:ext>
          </a:extLst>
        </xdr:cNvPr>
        <xdr:cNvSpPr/>
      </xdr:nvSpPr>
      <xdr:spPr>
        <a:xfrm>
          <a:off x="190804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518</xdr:row>
      <xdr:rowOff>0</xdr:rowOff>
    </xdr:from>
    <xdr:to>
      <xdr:col>71</xdr:col>
      <xdr:colOff>83820</xdr:colOff>
      <xdr:row>518</xdr:row>
      <xdr:rowOff>114300</xdr:rowOff>
    </xdr:to>
    <xdr:sp macro="" textlink="">
      <xdr:nvSpPr>
        <xdr:cNvPr id="3895" name="Arrow: Down 3894">
          <a:extLst>
            <a:ext uri="{FF2B5EF4-FFF2-40B4-BE49-F238E27FC236}">
              <a16:creationId xmlns:a16="http://schemas.microsoft.com/office/drawing/2014/main" id="{4FF0A1C7-69A2-4C5F-9604-6DB1AD737BE5}"/>
            </a:ext>
          </a:extLst>
        </xdr:cNvPr>
        <xdr:cNvSpPr/>
      </xdr:nvSpPr>
      <xdr:spPr>
        <a:xfrm>
          <a:off x="216331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518</xdr:row>
      <xdr:rowOff>0</xdr:rowOff>
    </xdr:from>
    <xdr:to>
      <xdr:col>24</xdr:col>
      <xdr:colOff>83820</xdr:colOff>
      <xdr:row>518</xdr:row>
      <xdr:rowOff>114300</xdr:rowOff>
    </xdr:to>
    <xdr:sp macro="" textlink="">
      <xdr:nvSpPr>
        <xdr:cNvPr id="3897" name="Arrow: Down 3896">
          <a:extLst>
            <a:ext uri="{FF2B5EF4-FFF2-40B4-BE49-F238E27FC236}">
              <a16:creationId xmlns:a16="http://schemas.microsoft.com/office/drawing/2014/main" id="{6172E8D6-2D39-43EC-A189-AF3580B1B02D}"/>
            </a:ext>
          </a:extLst>
        </xdr:cNvPr>
        <xdr:cNvSpPr/>
      </xdr:nvSpPr>
      <xdr:spPr>
        <a:xfrm>
          <a:off x="83362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518</xdr:row>
      <xdr:rowOff>0</xdr:rowOff>
    </xdr:from>
    <xdr:to>
      <xdr:col>39</xdr:col>
      <xdr:colOff>83820</xdr:colOff>
      <xdr:row>518</xdr:row>
      <xdr:rowOff>114300</xdr:rowOff>
    </xdr:to>
    <xdr:sp macro="" textlink="">
      <xdr:nvSpPr>
        <xdr:cNvPr id="3901" name="Arrow: Down 3900">
          <a:extLst>
            <a:ext uri="{FF2B5EF4-FFF2-40B4-BE49-F238E27FC236}">
              <a16:creationId xmlns:a16="http://schemas.microsoft.com/office/drawing/2014/main" id="{CF8B29F3-137E-4327-AB03-B3CAF9835D04}"/>
            </a:ext>
          </a:extLst>
        </xdr:cNvPr>
        <xdr:cNvSpPr/>
      </xdr:nvSpPr>
      <xdr:spPr>
        <a:xfrm rot="10800000">
          <a:off x="1154430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518</xdr:row>
      <xdr:rowOff>0</xdr:rowOff>
    </xdr:from>
    <xdr:to>
      <xdr:col>11</xdr:col>
      <xdr:colOff>83820</xdr:colOff>
      <xdr:row>518</xdr:row>
      <xdr:rowOff>114300</xdr:rowOff>
    </xdr:to>
    <xdr:sp macro="" textlink="">
      <xdr:nvSpPr>
        <xdr:cNvPr id="3903" name="Arrow: Down 3902">
          <a:extLst>
            <a:ext uri="{FF2B5EF4-FFF2-40B4-BE49-F238E27FC236}">
              <a16:creationId xmlns:a16="http://schemas.microsoft.com/office/drawing/2014/main" id="{A8274F65-ED15-4C07-9751-4D44D316F7A2}"/>
            </a:ext>
          </a:extLst>
        </xdr:cNvPr>
        <xdr:cNvSpPr/>
      </xdr:nvSpPr>
      <xdr:spPr>
        <a:xfrm rot="10800000">
          <a:off x="369570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518</xdr:row>
      <xdr:rowOff>0</xdr:rowOff>
    </xdr:from>
    <xdr:to>
      <xdr:col>5</xdr:col>
      <xdr:colOff>83820</xdr:colOff>
      <xdr:row>518</xdr:row>
      <xdr:rowOff>114300</xdr:rowOff>
    </xdr:to>
    <xdr:sp macro="" textlink="">
      <xdr:nvSpPr>
        <xdr:cNvPr id="3906" name="Arrow: Down 3905">
          <a:extLst>
            <a:ext uri="{FF2B5EF4-FFF2-40B4-BE49-F238E27FC236}">
              <a16:creationId xmlns:a16="http://schemas.microsoft.com/office/drawing/2014/main" id="{66DD130F-A5C9-4B28-85E4-603AE0FC000A}"/>
            </a:ext>
          </a:extLst>
        </xdr:cNvPr>
        <xdr:cNvSpPr/>
      </xdr:nvSpPr>
      <xdr:spPr>
        <a:xfrm rot="10800000">
          <a:off x="192786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519</xdr:row>
      <xdr:rowOff>0</xdr:rowOff>
    </xdr:from>
    <xdr:to>
      <xdr:col>45</xdr:col>
      <xdr:colOff>83820</xdr:colOff>
      <xdr:row>519</xdr:row>
      <xdr:rowOff>114300</xdr:rowOff>
    </xdr:to>
    <xdr:sp macro="" textlink="">
      <xdr:nvSpPr>
        <xdr:cNvPr id="3910" name="Arrow: Down 3909">
          <a:extLst>
            <a:ext uri="{FF2B5EF4-FFF2-40B4-BE49-F238E27FC236}">
              <a16:creationId xmlns:a16="http://schemas.microsoft.com/office/drawing/2014/main" id="{1A0B703E-AD6C-41A3-B81B-B88D703A034B}"/>
            </a:ext>
          </a:extLst>
        </xdr:cNvPr>
        <xdr:cNvSpPr/>
      </xdr:nvSpPr>
      <xdr:spPr>
        <a:xfrm>
          <a:off x="1340358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519</xdr:row>
      <xdr:rowOff>0</xdr:rowOff>
    </xdr:from>
    <xdr:to>
      <xdr:col>71</xdr:col>
      <xdr:colOff>83820</xdr:colOff>
      <xdr:row>519</xdr:row>
      <xdr:rowOff>114300</xdr:rowOff>
    </xdr:to>
    <xdr:sp macro="" textlink="">
      <xdr:nvSpPr>
        <xdr:cNvPr id="3927" name="Arrow: Down 3926">
          <a:extLst>
            <a:ext uri="{FF2B5EF4-FFF2-40B4-BE49-F238E27FC236}">
              <a16:creationId xmlns:a16="http://schemas.microsoft.com/office/drawing/2014/main" id="{C40AF5C1-A7A6-4217-9DE8-AFECC4C42B8C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519</xdr:row>
      <xdr:rowOff>0</xdr:rowOff>
    </xdr:from>
    <xdr:to>
      <xdr:col>60</xdr:col>
      <xdr:colOff>83820</xdr:colOff>
      <xdr:row>519</xdr:row>
      <xdr:rowOff>114300</xdr:rowOff>
    </xdr:to>
    <xdr:sp macro="" textlink="">
      <xdr:nvSpPr>
        <xdr:cNvPr id="3931" name="Arrow: Down 3930">
          <a:extLst>
            <a:ext uri="{FF2B5EF4-FFF2-40B4-BE49-F238E27FC236}">
              <a16:creationId xmlns:a16="http://schemas.microsoft.com/office/drawing/2014/main" id="{4124C662-063C-45CE-9256-61E57EFFB694}"/>
            </a:ext>
          </a:extLst>
        </xdr:cNvPr>
        <xdr:cNvSpPr/>
      </xdr:nvSpPr>
      <xdr:spPr>
        <a:xfrm rot="10800000">
          <a:off x="190804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519</xdr:row>
      <xdr:rowOff>0</xdr:rowOff>
    </xdr:from>
    <xdr:to>
      <xdr:col>5</xdr:col>
      <xdr:colOff>83820</xdr:colOff>
      <xdr:row>519</xdr:row>
      <xdr:rowOff>114300</xdr:rowOff>
    </xdr:to>
    <xdr:sp macro="" textlink="">
      <xdr:nvSpPr>
        <xdr:cNvPr id="3932" name="Arrow: Down 3931">
          <a:extLst>
            <a:ext uri="{FF2B5EF4-FFF2-40B4-BE49-F238E27FC236}">
              <a16:creationId xmlns:a16="http://schemas.microsoft.com/office/drawing/2014/main" id="{08598EE5-E1A5-4ABD-BC9E-7D151160681A}"/>
            </a:ext>
          </a:extLst>
        </xdr:cNvPr>
        <xdr:cNvSpPr/>
      </xdr:nvSpPr>
      <xdr:spPr>
        <a:xfrm>
          <a:off x="192786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519</xdr:row>
      <xdr:rowOff>0</xdr:rowOff>
    </xdr:from>
    <xdr:to>
      <xdr:col>11</xdr:col>
      <xdr:colOff>83820</xdr:colOff>
      <xdr:row>519</xdr:row>
      <xdr:rowOff>114300</xdr:rowOff>
    </xdr:to>
    <xdr:sp macro="" textlink="">
      <xdr:nvSpPr>
        <xdr:cNvPr id="3936" name="Arrow: Down 3935">
          <a:extLst>
            <a:ext uri="{FF2B5EF4-FFF2-40B4-BE49-F238E27FC236}">
              <a16:creationId xmlns:a16="http://schemas.microsoft.com/office/drawing/2014/main" id="{8BBE6D55-6DA8-441B-A924-3848EF111DEA}"/>
            </a:ext>
          </a:extLst>
        </xdr:cNvPr>
        <xdr:cNvSpPr/>
      </xdr:nvSpPr>
      <xdr:spPr>
        <a:xfrm>
          <a:off x="369570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519</xdr:row>
      <xdr:rowOff>0</xdr:rowOff>
    </xdr:from>
    <xdr:to>
      <xdr:col>39</xdr:col>
      <xdr:colOff>83820</xdr:colOff>
      <xdr:row>519</xdr:row>
      <xdr:rowOff>114300</xdr:rowOff>
    </xdr:to>
    <xdr:sp macro="" textlink="">
      <xdr:nvSpPr>
        <xdr:cNvPr id="3937" name="Arrow: Down 3936">
          <a:extLst>
            <a:ext uri="{FF2B5EF4-FFF2-40B4-BE49-F238E27FC236}">
              <a16:creationId xmlns:a16="http://schemas.microsoft.com/office/drawing/2014/main" id="{CE571756-3F46-4E80-A3A8-3940ABB4EAAA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519</xdr:row>
      <xdr:rowOff>0</xdr:rowOff>
    </xdr:from>
    <xdr:to>
      <xdr:col>24</xdr:col>
      <xdr:colOff>83820</xdr:colOff>
      <xdr:row>519</xdr:row>
      <xdr:rowOff>114300</xdr:rowOff>
    </xdr:to>
    <xdr:sp macro="" textlink="">
      <xdr:nvSpPr>
        <xdr:cNvPr id="3938" name="Arrow: Down 3937">
          <a:extLst>
            <a:ext uri="{FF2B5EF4-FFF2-40B4-BE49-F238E27FC236}">
              <a16:creationId xmlns:a16="http://schemas.microsoft.com/office/drawing/2014/main" id="{BD5FCDD4-E202-4C94-9224-37A680695292}"/>
            </a:ext>
          </a:extLst>
        </xdr:cNvPr>
        <xdr:cNvSpPr/>
      </xdr:nvSpPr>
      <xdr:spPr>
        <a:xfrm rot="10800000">
          <a:off x="83362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520</xdr:row>
      <xdr:rowOff>0</xdr:rowOff>
    </xdr:from>
    <xdr:to>
      <xdr:col>45</xdr:col>
      <xdr:colOff>83820</xdr:colOff>
      <xdr:row>520</xdr:row>
      <xdr:rowOff>114300</xdr:rowOff>
    </xdr:to>
    <xdr:sp macro="" textlink="">
      <xdr:nvSpPr>
        <xdr:cNvPr id="3940" name="Arrow: Down 3939">
          <a:extLst>
            <a:ext uri="{FF2B5EF4-FFF2-40B4-BE49-F238E27FC236}">
              <a16:creationId xmlns:a16="http://schemas.microsoft.com/office/drawing/2014/main" id="{F41A4114-5375-46C5-9682-2AD39081D36C}"/>
            </a:ext>
          </a:extLst>
        </xdr:cNvPr>
        <xdr:cNvSpPr/>
      </xdr:nvSpPr>
      <xdr:spPr>
        <a:xfrm>
          <a:off x="134035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520</xdr:row>
      <xdr:rowOff>0</xdr:rowOff>
    </xdr:from>
    <xdr:to>
      <xdr:col>71</xdr:col>
      <xdr:colOff>83820</xdr:colOff>
      <xdr:row>520</xdr:row>
      <xdr:rowOff>114300</xdr:rowOff>
    </xdr:to>
    <xdr:sp macro="" textlink="">
      <xdr:nvSpPr>
        <xdr:cNvPr id="3942" name="Arrow: Down 3941">
          <a:extLst>
            <a:ext uri="{FF2B5EF4-FFF2-40B4-BE49-F238E27FC236}">
              <a16:creationId xmlns:a16="http://schemas.microsoft.com/office/drawing/2014/main" id="{D200FEAC-7C1F-48D2-B162-036ECC5657F3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520</xdr:row>
      <xdr:rowOff>0</xdr:rowOff>
    </xdr:from>
    <xdr:to>
      <xdr:col>39</xdr:col>
      <xdr:colOff>83820</xdr:colOff>
      <xdr:row>520</xdr:row>
      <xdr:rowOff>114300</xdr:rowOff>
    </xdr:to>
    <xdr:sp macro="" textlink="">
      <xdr:nvSpPr>
        <xdr:cNvPr id="3947" name="Arrow: Down 3946">
          <a:extLst>
            <a:ext uri="{FF2B5EF4-FFF2-40B4-BE49-F238E27FC236}">
              <a16:creationId xmlns:a16="http://schemas.microsoft.com/office/drawing/2014/main" id="{0C6DA01E-A536-459E-B515-ECD666F03A9B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520</xdr:row>
      <xdr:rowOff>0</xdr:rowOff>
    </xdr:from>
    <xdr:to>
      <xdr:col>60</xdr:col>
      <xdr:colOff>83820</xdr:colOff>
      <xdr:row>520</xdr:row>
      <xdr:rowOff>114300</xdr:rowOff>
    </xdr:to>
    <xdr:sp macro="" textlink="">
      <xdr:nvSpPr>
        <xdr:cNvPr id="3949" name="Arrow: Down 3948">
          <a:extLst>
            <a:ext uri="{FF2B5EF4-FFF2-40B4-BE49-F238E27FC236}">
              <a16:creationId xmlns:a16="http://schemas.microsoft.com/office/drawing/2014/main" id="{53327E4C-4A00-4E38-BA73-036CCDDEC9E5}"/>
            </a:ext>
          </a:extLst>
        </xdr:cNvPr>
        <xdr:cNvSpPr/>
      </xdr:nvSpPr>
      <xdr:spPr>
        <a:xfrm>
          <a:off x="19080480" y="9519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520</xdr:row>
      <xdr:rowOff>0</xdr:rowOff>
    </xdr:from>
    <xdr:to>
      <xdr:col>11</xdr:col>
      <xdr:colOff>83820</xdr:colOff>
      <xdr:row>520</xdr:row>
      <xdr:rowOff>114300</xdr:rowOff>
    </xdr:to>
    <xdr:sp macro="" textlink="">
      <xdr:nvSpPr>
        <xdr:cNvPr id="3950" name="Arrow: Down 3949">
          <a:extLst>
            <a:ext uri="{FF2B5EF4-FFF2-40B4-BE49-F238E27FC236}">
              <a16:creationId xmlns:a16="http://schemas.microsoft.com/office/drawing/2014/main" id="{C35CC6AE-B067-4927-BB18-0CAC0E75075B}"/>
            </a:ext>
          </a:extLst>
        </xdr:cNvPr>
        <xdr:cNvSpPr/>
      </xdr:nvSpPr>
      <xdr:spPr>
        <a:xfrm rot="10800000">
          <a:off x="36957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520</xdr:row>
      <xdr:rowOff>0</xdr:rowOff>
    </xdr:from>
    <xdr:to>
      <xdr:col>5</xdr:col>
      <xdr:colOff>83820</xdr:colOff>
      <xdr:row>520</xdr:row>
      <xdr:rowOff>114300</xdr:rowOff>
    </xdr:to>
    <xdr:sp macro="" textlink="">
      <xdr:nvSpPr>
        <xdr:cNvPr id="3951" name="Arrow: Down 3950">
          <a:extLst>
            <a:ext uri="{FF2B5EF4-FFF2-40B4-BE49-F238E27FC236}">
              <a16:creationId xmlns:a16="http://schemas.microsoft.com/office/drawing/2014/main" id="{179596F7-454D-448A-8646-A984F475CCD0}"/>
            </a:ext>
          </a:extLst>
        </xdr:cNvPr>
        <xdr:cNvSpPr/>
      </xdr:nvSpPr>
      <xdr:spPr>
        <a:xfrm rot="10800000">
          <a:off x="192786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520</xdr:row>
      <xdr:rowOff>0</xdr:rowOff>
    </xdr:from>
    <xdr:to>
      <xdr:col>24</xdr:col>
      <xdr:colOff>83820</xdr:colOff>
      <xdr:row>520</xdr:row>
      <xdr:rowOff>114300</xdr:rowOff>
    </xdr:to>
    <xdr:sp macro="" textlink="">
      <xdr:nvSpPr>
        <xdr:cNvPr id="3952" name="Arrow: Down 3951">
          <a:extLst>
            <a:ext uri="{FF2B5EF4-FFF2-40B4-BE49-F238E27FC236}">
              <a16:creationId xmlns:a16="http://schemas.microsoft.com/office/drawing/2014/main" id="{2B0D2F88-330E-4B5F-B4A6-31CF4A1C4683}"/>
            </a:ext>
          </a:extLst>
        </xdr:cNvPr>
        <xdr:cNvSpPr/>
      </xdr:nvSpPr>
      <xdr:spPr>
        <a:xfrm rot="10800000">
          <a:off x="83362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521</xdr:row>
      <xdr:rowOff>0</xdr:rowOff>
    </xdr:from>
    <xdr:to>
      <xdr:col>45</xdr:col>
      <xdr:colOff>83820</xdr:colOff>
      <xdr:row>521</xdr:row>
      <xdr:rowOff>114300</xdr:rowOff>
    </xdr:to>
    <xdr:sp macro="" textlink="">
      <xdr:nvSpPr>
        <xdr:cNvPr id="3953" name="Arrow: Down 3952">
          <a:extLst>
            <a:ext uri="{FF2B5EF4-FFF2-40B4-BE49-F238E27FC236}">
              <a16:creationId xmlns:a16="http://schemas.microsoft.com/office/drawing/2014/main" id="{31202471-9B03-46E4-BF7F-41DF373BC94C}"/>
            </a:ext>
          </a:extLst>
        </xdr:cNvPr>
        <xdr:cNvSpPr/>
      </xdr:nvSpPr>
      <xdr:spPr>
        <a:xfrm>
          <a:off x="134035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521</xdr:row>
      <xdr:rowOff>0</xdr:rowOff>
    </xdr:from>
    <xdr:to>
      <xdr:col>71</xdr:col>
      <xdr:colOff>83820</xdr:colOff>
      <xdr:row>521</xdr:row>
      <xdr:rowOff>114300</xdr:rowOff>
    </xdr:to>
    <xdr:sp macro="" textlink="">
      <xdr:nvSpPr>
        <xdr:cNvPr id="3954" name="Arrow: Down 3953">
          <a:extLst>
            <a:ext uri="{FF2B5EF4-FFF2-40B4-BE49-F238E27FC236}">
              <a16:creationId xmlns:a16="http://schemas.microsoft.com/office/drawing/2014/main" id="{699AEB88-7BCA-436B-91B2-B13C2AEB46EB}"/>
            </a:ext>
          </a:extLst>
        </xdr:cNvPr>
        <xdr:cNvSpPr/>
      </xdr:nvSpPr>
      <xdr:spPr>
        <a:xfrm rot="10800000">
          <a:off x="216331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521</xdr:row>
      <xdr:rowOff>0</xdr:rowOff>
    </xdr:from>
    <xdr:to>
      <xdr:col>39</xdr:col>
      <xdr:colOff>83820</xdr:colOff>
      <xdr:row>521</xdr:row>
      <xdr:rowOff>114300</xdr:rowOff>
    </xdr:to>
    <xdr:sp macro="" textlink="">
      <xdr:nvSpPr>
        <xdr:cNvPr id="3955" name="Arrow: Down 3954">
          <a:extLst>
            <a:ext uri="{FF2B5EF4-FFF2-40B4-BE49-F238E27FC236}">
              <a16:creationId xmlns:a16="http://schemas.microsoft.com/office/drawing/2014/main" id="{5B4B7A71-8805-4A88-B3FD-EAD326DD93AE}"/>
            </a:ext>
          </a:extLst>
        </xdr:cNvPr>
        <xdr:cNvSpPr/>
      </xdr:nvSpPr>
      <xdr:spPr>
        <a:xfrm>
          <a:off x="115443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521</xdr:row>
      <xdr:rowOff>0</xdr:rowOff>
    </xdr:from>
    <xdr:to>
      <xdr:col>60</xdr:col>
      <xdr:colOff>83820</xdr:colOff>
      <xdr:row>521</xdr:row>
      <xdr:rowOff>114300</xdr:rowOff>
    </xdr:to>
    <xdr:sp macro="" textlink="">
      <xdr:nvSpPr>
        <xdr:cNvPr id="3961" name="Arrow: Down 3960">
          <a:extLst>
            <a:ext uri="{FF2B5EF4-FFF2-40B4-BE49-F238E27FC236}">
              <a16:creationId xmlns:a16="http://schemas.microsoft.com/office/drawing/2014/main" id="{7F6FAEE6-F6E3-42C7-A22A-B3D1E1983015}"/>
            </a:ext>
          </a:extLst>
        </xdr:cNvPr>
        <xdr:cNvSpPr/>
      </xdr:nvSpPr>
      <xdr:spPr>
        <a:xfrm rot="10800000">
          <a:off x="190804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521</xdr:row>
      <xdr:rowOff>0</xdr:rowOff>
    </xdr:from>
    <xdr:to>
      <xdr:col>11</xdr:col>
      <xdr:colOff>83820</xdr:colOff>
      <xdr:row>521</xdr:row>
      <xdr:rowOff>114300</xdr:rowOff>
    </xdr:to>
    <xdr:sp macro="" textlink="">
      <xdr:nvSpPr>
        <xdr:cNvPr id="3962" name="Arrow: Down 3961">
          <a:extLst>
            <a:ext uri="{FF2B5EF4-FFF2-40B4-BE49-F238E27FC236}">
              <a16:creationId xmlns:a16="http://schemas.microsoft.com/office/drawing/2014/main" id="{8CAD3062-59D2-45E7-917B-3E29801B0408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521</xdr:row>
      <xdr:rowOff>0</xdr:rowOff>
    </xdr:from>
    <xdr:to>
      <xdr:col>5</xdr:col>
      <xdr:colOff>83820</xdr:colOff>
      <xdr:row>521</xdr:row>
      <xdr:rowOff>114300</xdr:rowOff>
    </xdr:to>
    <xdr:sp macro="" textlink="">
      <xdr:nvSpPr>
        <xdr:cNvPr id="3964" name="Arrow: Down 3963">
          <a:extLst>
            <a:ext uri="{FF2B5EF4-FFF2-40B4-BE49-F238E27FC236}">
              <a16:creationId xmlns:a16="http://schemas.microsoft.com/office/drawing/2014/main" id="{F7C1E7EF-05C4-4A59-823E-5C84DEBC326F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521</xdr:row>
      <xdr:rowOff>0</xdr:rowOff>
    </xdr:from>
    <xdr:to>
      <xdr:col>24</xdr:col>
      <xdr:colOff>83820</xdr:colOff>
      <xdr:row>521</xdr:row>
      <xdr:rowOff>114300</xdr:rowOff>
    </xdr:to>
    <xdr:sp macro="" textlink="">
      <xdr:nvSpPr>
        <xdr:cNvPr id="3965" name="Arrow: Down 3964">
          <a:extLst>
            <a:ext uri="{FF2B5EF4-FFF2-40B4-BE49-F238E27FC236}">
              <a16:creationId xmlns:a16="http://schemas.microsoft.com/office/drawing/2014/main" id="{4135C5F1-149B-4C2B-8D38-AF08207A1738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522</xdr:row>
      <xdr:rowOff>0</xdr:rowOff>
    </xdr:from>
    <xdr:to>
      <xdr:col>45</xdr:col>
      <xdr:colOff>83820</xdr:colOff>
      <xdr:row>522</xdr:row>
      <xdr:rowOff>114300</xdr:rowOff>
    </xdr:to>
    <xdr:sp macro="" textlink="">
      <xdr:nvSpPr>
        <xdr:cNvPr id="3966" name="Arrow: Down 3965">
          <a:extLst>
            <a:ext uri="{FF2B5EF4-FFF2-40B4-BE49-F238E27FC236}">
              <a16:creationId xmlns:a16="http://schemas.microsoft.com/office/drawing/2014/main" id="{CBB3A835-B052-414C-B891-343A3F61ACB4}"/>
            </a:ext>
          </a:extLst>
        </xdr:cNvPr>
        <xdr:cNvSpPr/>
      </xdr:nvSpPr>
      <xdr:spPr>
        <a:xfrm>
          <a:off x="134035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522</xdr:row>
      <xdr:rowOff>0</xdr:rowOff>
    </xdr:from>
    <xdr:to>
      <xdr:col>39</xdr:col>
      <xdr:colOff>83820</xdr:colOff>
      <xdr:row>522</xdr:row>
      <xdr:rowOff>114300</xdr:rowOff>
    </xdr:to>
    <xdr:sp macro="" textlink="">
      <xdr:nvSpPr>
        <xdr:cNvPr id="3968" name="Arrow: Down 3967">
          <a:extLst>
            <a:ext uri="{FF2B5EF4-FFF2-40B4-BE49-F238E27FC236}">
              <a16:creationId xmlns:a16="http://schemas.microsoft.com/office/drawing/2014/main" id="{6536441A-4F05-4D27-888D-C2A16D8227C2}"/>
            </a:ext>
          </a:extLst>
        </xdr:cNvPr>
        <xdr:cNvSpPr/>
      </xdr:nvSpPr>
      <xdr:spPr>
        <a:xfrm>
          <a:off x="1154430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522</xdr:row>
      <xdr:rowOff>0</xdr:rowOff>
    </xdr:from>
    <xdr:to>
      <xdr:col>11</xdr:col>
      <xdr:colOff>83820</xdr:colOff>
      <xdr:row>522</xdr:row>
      <xdr:rowOff>114300</xdr:rowOff>
    </xdr:to>
    <xdr:sp macro="" textlink="">
      <xdr:nvSpPr>
        <xdr:cNvPr id="3970" name="Arrow: Down 3969">
          <a:extLst>
            <a:ext uri="{FF2B5EF4-FFF2-40B4-BE49-F238E27FC236}">
              <a16:creationId xmlns:a16="http://schemas.microsoft.com/office/drawing/2014/main" id="{31DDF852-C9B6-4297-B4E6-7BF196352330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522</xdr:row>
      <xdr:rowOff>0</xdr:rowOff>
    </xdr:from>
    <xdr:to>
      <xdr:col>5</xdr:col>
      <xdr:colOff>83820</xdr:colOff>
      <xdr:row>522</xdr:row>
      <xdr:rowOff>114300</xdr:rowOff>
    </xdr:to>
    <xdr:sp macro="" textlink="">
      <xdr:nvSpPr>
        <xdr:cNvPr id="3971" name="Arrow: Down 3970">
          <a:extLst>
            <a:ext uri="{FF2B5EF4-FFF2-40B4-BE49-F238E27FC236}">
              <a16:creationId xmlns:a16="http://schemas.microsoft.com/office/drawing/2014/main" id="{196DCD1A-72E0-47F4-8C3B-8454AF96B14E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522</xdr:row>
      <xdr:rowOff>0</xdr:rowOff>
    </xdr:from>
    <xdr:to>
      <xdr:col>24</xdr:col>
      <xdr:colOff>83820</xdr:colOff>
      <xdr:row>522</xdr:row>
      <xdr:rowOff>114300</xdr:rowOff>
    </xdr:to>
    <xdr:sp macro="" textlink="">
      <xdr:nvSpPr>
        <xdr:cNvPr id="3972" name="Arrow: Down 3971">
          <a:extLst>
            <a:ext uri="{FF2B5EF4-FFF2-40B4-BE49-F238E27FC236}">
              <a16:creationId xmlns:a16="http://schemas.microsoft.com/office/drawing/2014/main" id="{A11D8E29-D3A4-4896-87EF-5E43FAAA751E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522</xdr:row>
      <xdr:rowOff>0</xdr:rowOff>
    </xdr:from>
    <xdr:to>
      <xdr:col>71</xdr:col>
      <xdr:colOff>83820</xdr:colOff>
      <xdr:row>522</xdr:row>
      <xdr:rowOff>114300</xdr:rowOff>
    </xdr:to>
    <xdr:sp macro="" textlink="">
      <xdr:nvSpPr>
        <xdr:cNvPr id="3973" name="Arrow: Down 3972">
          <a:extLst>
            <a:ext uri="{FF2B5EF4-FFF2-40B4-BE49-F238E27FC236}">
              <a16:creationId xmlns:a16="http://schemas.microsoft.com/office/drawing/2014/main" id="{A1EC7D35-4BA5-4D95-9EB4-310B5FDEC4F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522</xdr:row>
      <xdr:rowOff>0</xdr:rowOff>
    </xdr:from>
    <xdr:to>
      <xdr:col>60</xdr:col>
      <xdr:colOff>83820</xdr:colOff>
      <xdr:row>522</xdr:row>
      <xdr:rowOff>114300</xdr:rowOff>
    </xdr:to>
    <xdr:sp macro="" textlink="">
      <xdr:nvSpPr>
        <xdr:cNvPr id="3974" name="Arrow: Down 3973">
          <a:extLst>
            <a:ext uri="{FF2B5EF4-FFF2-40B4-BE49-F238E27FC236}">
              <a16:creationId xmlns:a16="http://schemas.microsoft.com/office/drawing/2014/main" id="{35C4CA02-E5DD-43E7-BD33-735F1787294D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523</xdr:row>
      <xdr:rowOff>0</xdr:rowOff>
    </xdr:from>
    <xdr:to>
      <xdr:col>45</xdr:col>
      <xdr:colOff>83820</xdr:colOff>
      <xdr:row>523</xdr:row>
      <xdr:rowOff>114300</xdr:rowOff>
    </xdr:to>
    <xdr:sp macro="" textlink="">
      <xdr:nvSpPr>
        <xdr:cNvPr id="3975" name="Arrow: Down 3974">
          <a:extLst>
            <a:ext uri="{FF2B5EF4-FFF2-40B4-BE49-F238E27FC236}">
              <a16:creationId xmlns:a16="http://schemas.microsoft.com/office/drawing/2014/main" id="{C6FE060D-EDA1-4D73-AA1C-E4E7CB99EACB}"/>
            </a:ext>
          </a:extLst>
        </xdr:cNvPr>
        <xdr:cNvSpPr/>
      </xdr:nvSpPr>
      <xdr:spPr>
        <a:xfrm>
          <a:off x="13403580" y="9556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523</xdr:row>
      <xdr:rowOff>0</xdr:rowOff>
    </xdr:from>
    <xdr:to>
      <xdr:col>71</xdr:col>
      <xdr:colOff>83820</xdr:colOff>
      <xdr:row>523</xdr:row>
      <xdr:rowOff>114300</xdr:rowOff>
    </xdr:to>
    <xdr:sp macro="" textlink="">
      <xdr:nvSpPr>
        <xdr:cNvPr id="3980" name="Arrow: Down 3979">
          <a:extLst>
            <a:ext uri="{FF2B5EF4-FFF2-40B4-BE49-F238E27FC236}">
              <a16:creationId xmlns:a16="http://schemas.microsoft.com/office/drawing/2014/main" id="{0A6C9488-8417-413C-8906-B8FFF6F1CD9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523</xdr:row>
      <xdr:rowOff>0</xdr:rowOff>
    </xdr:from>
    <xdr:to>
      <xdr:col>60</xdr:col>
      <xdr:colOff>83820</xdr:colOff>
      <xdr:row>523</xdr:row>
      <xdr:rowOff>114300</xdr:rowOff>
    </xdr:to>
    <xdr:sp macro="" textlink="">
      <xdr:nvSpPr>
        <xdr:cNvPr id="3981" name="Arrow: Down 3980">
          <a:extLst>
            <a:ext uri="{FF2B5EF4-FFF2-40B4-BE49-F238E27FC236}">
              <a16:creationId xmlns:a16="http://schemas.microsoft.com/office/drawing/2014/main" id="{19587E03-A3FE-48C3-A1F4-FBE0C0970098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523</xdr:row>
      <xdr:rowOff>0</xdr:rowOff>
    </xdr:from>
    <xdr:to>
      <xdr:col>11</xdr:col>
      <xdr:colOff>83820</xdr:colOff>
      <xdr:row>523</xdr:row>
      <xdr:rowOff>114300</xdr:rowOff>
    </xdr:to>
    <xdr:sp macro="" textlink="">
      <xdr:nvSpPr>
        <xdr:cNvPr id="3982" name="Arrow: Down 3981">
          <a:extLst>
            <a:ext uri="{FF2B5EF4-FFF2-40B4-BE49-F238E27FC236}">
              <a16:creationId xmlns:a16="http://schemas.microsoft.com/office/drawing/2014/main" id="{079F1A88-BB64-448F-8C02-E3A772953B49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523</xdr:row>
      <xdr:rowOff>0</xdr:rowOff>
    </xdr:from>
    <xdr:to>
      <xdr:col>5</xdr:col>
      <xdr:colOff>83820</xdr:colOff>
      <xdr:row>523</xdr:row>
      <xdr:rowOff>114300</xdr:rowOff>
    </xdr:to>
    <xdr:sp macro="" textlink="">
      <xdr:nvSpPr>
        <xdr:cNvPr id="3983" name="Arrow: Down 3982">
          <a:extLst>
            <a:ext uri="{FF2B5EF4-FFF2-40B4-BE49-F238E27FC236}">
              <a16:creationId xmlns:a16="http://schemas.microsoft.com/office/drawing/2014/main" id="{ECDD707F-7D2F-49FD-A684-A47718F5AEB1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523</xdr:row>
      <xdr:rowOff>0</xdr:rowOff>
    </xdr:from>
    <xdr:to>
      <xdr:col>24</xdr:col>
      <xdr:colOff>83820</xdr:colOff>
      <xdr:row>523</xdr:row>
      <xdr:rowOff>114300</xdr:rowOff>
    </xdr:to>
    <xdr:sp macro="" textlink="">
      <xdr:nvSpPr>
        <xdr:cNvPr id="3984" name="Arrow: Down 3983">
          <a:extLst>
            <a:ext uri="{FF2B5EF4-FFF2-40B4-BE49-F238E27FC236}">
              <a16:creationId xmlns:a16="http://schemas.microsoft.com/office/drawing/2014/main" id="{B8A2668D-04A9-48E4-8295-EC0E58D4E04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523</xdr:row>
      <xdr:rowOff>0</xdr:rowOff>
    </xdr:from>
    <xdr:to>
      <xdr:col>39</xdr:col>
      <xdr:colOff>83820</xdr:colOff>
      <xdr:row>523</xdr:row>
      <xdr:rowOff>114300</xdr:rowOff>
    </xdr:to>
    <xdr:sp macro="" textlink="">
      <xdr:nvSpPr>
        <xdr:cNvPr id="3985" name="Arrow: Down 3984">
          <a:extLst>
            <a:ext uri="{FF2B5EF4-FFF2-40B4-BE49-F238E27FC236}">
              <a16:creationId xmlns:a16="http://schemas.microsoft.com/office/drawing/2014/main" id="{10CE9CC7-E78C-4D08-87A4-2A5010858C3C}"/>
            </a:ext>
          </a:extLst>
        </xdr:cNvPr>
        <xdr:cNvSpPr/>
      </xdr:nvSpPr>
      <xdr:spPr>
        <a:xfrm rot="10800000">
          <a:off x="1154430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524</xdr:row>
      <xdr:rowOff>0</xdr:rowOff>
    </xdr:from>
    <xdr:to>
      <xdr:col>45</xdr:col>
      <xdr:colOff>83820</xdr:colOff>
      <xdr:row>524</xdr:row>
      <xdr:rowOff>114300</xdr:rowOff>
    </xdr:to>
    <xdr:sp macro="" textlink="">
      <xdr:nvSpPr>
        <xdr:cNvPr id="3986" name="Arrow: Down 3985">
          <a:extLst>
            <a:ext uri="{FF2B5EF4-FFF2-40B4-BE49-F238E27FC236}">
              <a16:creationId xmlns:a16="http://schemas.microsoft.com/office/drawing/2014/main" id="{6ADF42EC-41CC-4980-9EE2-BB73116BE644}"/>
            </a:ext>
          </a:extLst>
        </xdr:cNvPr>
        <xdr:cNvSpPr/>
      </xdr:nvSpPr>
      <xdr:spPr>
        <a:xfrm>
          <a:off x="134035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524</xdr:row>
      <xdr:rowOff>0</xdr:rowOff>
    </xdr:from>
    <xdr:to>
      <xdr:col>71</xdr:col>
      <xdr:colOff>83820</xdr:colOff>
      <xdr:row>524</xdr:row>
      <xdr:rowOff>114300</xdr:rowOff>
    </xdr:to>
    <xdr:sp macro="" textlink="">
      <xdr:nvSpPr>
        <xdr:cNvPr id="3987" name="Arrow: Down 3986">
          <a:extLst>
            <a:ext uri="{FF2B5EF4-FFF2-40B4-BE49-F238E27FC236}">
              <a16:creationId xmlns:a16="http://schemas.microsoft.com/office/drawing/2014/main" id="{BC49E8FC-8848-484B-BE8A-52DD23BB1D16}"/>
            </a:ext>
          </a:extLst>
        </xdr:cNvPr>
        <xdr:cNvSpPr/>
      </xdr:nvSpPr>
      <xdr:spPr>
        <a:xfrm>
          <a:off x="2163318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524</xdr:row>
      <xdr:rowOff>0</xdr:rowOff>
    </xdr:from>
    <xdr:to>
      <xdr:col>11</xdr:col>
      <xdr:colOff>83820</xdr:colOff>
      <xdr:row>524</xdr:row>
      <xdr:rowOff>114300</xdr:rowOff>
    </xdr:to>
    <xdr:sp macro="" textlink="">
      <xdr:nvSpPr>
        <xdr:cNvPr id="3989" name="Arrow: Down 3988">
          <a:extLst>
            <a:ext uri="{FF2B5EF4-FFF2-40B4-BE49-F238E27FC236}">
              <a16:creationId xmlns:a16="http://schemas.microsoft.com/office/drawing/2014/main" id="{A5C38C4B-F476-4A31-A7FD-2A8F70751A06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524</xdr:row>
      <xdr:rowOff>0</xdr:rowOff>
    </xdr:from>
    <xdr:to>
      <xdr:col>5</xdr:col>
      <xdr:colOff>83820</xdr:colOff>
      <xdr:row>524</xdr:row>
      <xdr:rowOff>114300</xdr:rowOff>
    </xdr:to>
    <xdr:sp macro="" textlink="">
      <xdr:nvSpPr>
        <xdr:cNvPr id="3990" name="Arrow: Down 3989">
          <a:extLst>
            <a:ext uri="{FF2B5EF4-FFF2-40B4-BE49-F238E27FC236}">
              <a16:creationId xmlns:a16="http://schemas.microsoft.com/office/drawing/2014/main" id="{5678C4C3-19D1-4CE3-BD28-859DE7054F52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524</xdr:row>
      <xdr:rowOff>0</xdr:rowOff>
    </xdr:from>
    <xdr:to>
      <xdr:col>24</xdr:col>
      <xdr:colOff>83820</xdr:colOff>
      <xdr:row>524</xdr:row>
      <xdr:rowOff>114300</xdr:rowOff>
    </xdr:to>
    <xdr:sp macro="" textlink="">
      <xdr:nvSpPr>
        <xdr:cNvPr id="3991" name="Arrow: Down 3990">
          <a:extLst>
            <a:ext uri="{FF2B5EF4-FFF2-40B4-BE49-F238E27FC236}">
              <a16:creationId xmlns:a16="http://schemas.microsoft.com/office/drawing/2014/main" id="{C71CB0E9-BB1C-4484-9C3E-1D2C89F57DA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524</xdr:row>
      <xdr:rowOff>0</xdr:rowOff>
    </xdr:from>
    <xdr:to>
      <xdr:col>60</xdr:col>
      <xdr:colOff>83820</xdr:colOff>
      <xdr:row>524</xdr:row>
      <xdr:rowOff>114300</xdr:rowOff>
    </xdr:to>
    <xdr:sp macro="" textlink="">
      <xdr:nvSpPr>
        <xdr:cNvPr id="3993" name="Arrow: Down 3992">
          <a:extLst>
            <a:ext uri="{FF2B5EF4-FFF2-40B4-BE49-F238E27FC236}">
              <a16:creationId xmlns:a16="http://schemas.microsoft.com/office/drawing/2014/main" id="{F5F2D596-A16A-4BF4-A234-547B666831DA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524</xdr:row>
      <xdr:rowOff>0</xdr:rowOff>
    </xdr:from>
    <xdr:to>
      <xdr:col>39</xdr:col>
      <xdr:colOff>83820</xdr:colOff>
      <xdr:row>524</xdr:row>
      <xdr:rowOff>114300</xdr:rowOff>
    </xdr:to>
    <xdr:sp macro="" textlink="">
      <xdr:nvSpPr>
        <xdr:cNvPr id="3994" name="Arrow: Down 3993">
          <a:extLst>
            <a:ext uri="{FF2B5EF4-FFF2-40B4-BE49-F238E27FC236}">
              <a16:creationId xmlns:a16="http://schemas.microsoft.com/office/drawing/2014/main" id="{4CAC3015-5D84-4377-A1EA-65557A5D9914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525</xdr:row>
      <xdr:rowOff>0</xdr:rowOff>
    </xdr:from>
    <xdr:to>
      <xdr:col>45</xdr:col>
      <xdr:colOff>83820</xdr:colOff>
      <xdr:row>525</xdr:row>
      <xdr:rowOff>114300</xdr:rowOff>
    </xdr:to>
    <xdr:sp macro="" textlink="">
      <xdr:nvSpPr>
        <xdr:cNvPr id="3995" name="Arrow: Down 3994">
          <a:extLst>
            <a:ext uri="{FF2B5EF4-FFF2-40B4-BE49-F238E27FC236}">
              <a16:creationId xmlns:a16="http://schemas.microsoft.com/office/drawing/2014/main" id="{613416F5-768E-4CB4-8D5C-A6AF5B9FF323}"/>
            </a:ext>
          </a:extLst>
        </xdr:cNvPr>
        <xdr:cNvSpPr/>
      </xdr:nvSpPr>
      <xdr:spPr>
        <a:xfrm>
          <a:off x="134035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525</xdr:row>
      <xdr:rowOff>0</xdr:rowOff>
    </xdr:from>
    <xdr:to>
      <xdr:col>11</xdr:col>
      <xdr:colOff>83820</xdr:colOff>
      <xdr:row>525</xdr:row>
      <xdr:rowOff>114300</xdr:rowOff>
    </xdr:to>
    <xdr:sp macro="" textlink="">
      <xdr:nvSpPr>
        <xdr:cNvPr id="3997" name="Arrow: Down 3996">
          <a:extLst>
            <a:ext uri="{FF2B5EF4-FFF2-40B4-BE49-F238E27FC236}">
              <a16:creationId xmlns:a16="http://schemas.microsoft.com/office/drawing/2014/main" id="{268611ED-4CE7-499A-B702-02CB6AE80214}"/>
            </a:ext>
          </a:extLst>
        </xdr:cNvPr>
        <xdr:cNvSpPr/>
      </xdr:nvSpPr>
      <xdr:spPr>
        <a:xfrm rot="10800000">
          <a:off x="36957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525</xdr:row>
      <xdr:rowOff>0</xdr:rowOff>
    </xdr:from>
    <xdr:to>
      <xdr:col>5</xdr:col>
      <xdr:colOff>83820</xdr:colOff>
      <xdr:row>525</xdr:row>
      <xdr:rowOff>114300</xdr:rowOff>
    </xdr:to>
    <xdr:sp macro="" textlink="">
      <xdr:nvSpPr>
        <xdr:cNvPr id="3998" name="Arrow: Down 3997">
          <a:extLst>
            <a:ext uri="{FF2B5EF4-FFF2-40B4-BE49-F238E27FC236}">
              <a16:creationId xmlns:a16="http://schemas.microsoft.com/office/drawing/2014/main" id="{D0A2143C-0886-405D-ACCD-A053F5F9F539}"/>
            </a:ext>
          </a:extLst>
        </xdr:cNvPr>
        <xdr:cNvSpPr/>
      </xdr:nvSpPr>
      <xdr:spPr>
        <a:xfrm rot="10800000">
          <a:off x="192786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525</xdr:row>
      <xdr:rowOff>0</xdr:rowOff>
    </xdr:from>
    <xdr:to>
      <xdr:col>24</xdr:col>
      <xdr:colOff>83820</xdr:colOff>
      <xdr:row>525</xdr:row>
      <xdr:rowOff>114300</xdr:rowOff>
    </xdr:to>
    <xdr:sp macro="" textlink="">
      <xdr:nvSpPr>
        <xdr:cNvPr id="3999" name="Arrow: Down 3998">
          <a:extLst>
            <a:ext uri="{FF2B5EF4-FFF2-40B4-BE49-F238E27FC236}">
              <a16:creationId xmlns:a16="http://schemas.microsoft.com/office/drawing/2014/main" id="{065B68FF-2B10-40F3-B8B2-0BA866B3EC2F}"/>
            </a:ext>
          </a:extLst>
        </xdr:cNvPr>
        <xdr:cNvSpPr/>
      </xdr:nvSpPr>
      <xdr:spPr>
        <a:xfrm rot="10800000">
          <a:off x="83362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525</xdr:row>
      <xdr:rowOff>0</xdr:rowOff>
    </xdr:from>
    <xdr:to>
      <xdr:col>60</xdr:col>
      <xdr:colOff>83820</xdr:colOff>
      <xdr:row>525</xdr:row>
      <xdr:rowOff>114300</xdr:rowOff>
    </xdr:to>
    <xdr:sp macro="" textlink="">
      <xdr:nvSpPr>
        <xdr:cNvPr id="4000" name="Arrow: Down 3999">
          <a:extLst>
            <a:ext uri="{FF2B5EF4-FFF2-40B4-BE49-F238E27FC236}">
              <a16:creationId xmlns:a16="http://schemas.microsoft.com/office/drawing/2014/main" id="{A1DF6868-B0C4-4250-AAC1-FD6F0037B4C6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525</xdr:row>
      <xdr:rowOff>0</xdr:rowOff>
    </xdr:from>
    <xdr:to>
      <xdr:col>39</xdr:col>
      <xdr:colOff>83820</xdr:colOff>
      <xdr:row>525</xdr:row>
      <xdr:rowOff>114300</xdr:rowOff>
    </xdr:to>
    <xdr:sp macro="" textlink="">
      <xdr:nvSpPr>
        <xdr:cNvPr id="4001" name="Arrow: Down 4000">
          <a:extLst>
            <a:ext uri="{FF2B5EF4-FFF2-40B4-BE49-F238E27FC236}">
              <a16:creationId xmlns:a16="http://schemas.microsoft.com/office/drawing/2014/main" id="{148AA985-CD4D-462F-8606-2B81CC37635A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525</xdr:row>
      <xdr:rowOff>0</xdr:rowOff>
    </xdr:from>
    <xdr:to>
      <xdr:col>71</xdr:col>
      <xdr:colOff>83820</xdr:colOff>
      <xdr:row>525</xdr:row>
      <xdr:rowOff>114300</xdr:rowOff>
    </xdr:to>
    <xdr:sp macro="" textlink="">
      <xdr:nvSpPr>
        <xdr:cNvPr id="4002" name="Arrow: Down 4001">
          <a:extLst>
            <a:ext uri="{FF2B5EF4-FFF2-40B4-BE49-F238E27FC236}">
              <a16:creationId xmlns:a16="http://schemas.microsoft.com/office/drawing/2014/main" id="{4A6750BB-F5E3-4235-8CC7-9B5F9B053BD6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526</xdr:row>
      <xdr:rowOff>0</xdr:rowOff>
    </xdr:from>
    <xdr:to>
      <xdr:col>45</xdr:col>
      <xdr:colOff>83820</xdr:colOff>
      <xdr:row>526</xdr:row>
      <xdr:rowOff>114300</xdr:rowOff>
    </xdr:to>
    <xdr:sp macro="" textlink="">
      <xdr:nvSpPr>
        <xdr:cNvPr id="4003" name="Arrow: Down 4002">
          <a:extLst>
            <a:ext uri="{FF2B5EF4-FFF2-40B4-BE49-F238E27FC236}">
              <a16:creationId xmlns:a16="http://schemas.microsoft.com/office/drawing/2014/main" id="{8E57C150-8F02-4A02-9A71-9BF4CA2C1774}"/>
            </a:ext>
          </a:extLst>
        </xdr:cNvPr>
        <xdr:cNvSpPr/>
      </xdr:nvSpPr>
      <xdr:spPr>
        <a:xfrm>
          <a:off x="134035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526</xdr:row>
      <xdr:rowOff>0</xdr:rowOff>
    </xdr:from>
    <xdr:to>
      <xdr:col>39</xdr:col>
      <xdr:colOff>83820</xdr:colOff>
      <xdr:row>526</xdr:row>
      <xdr:rowOff>114300</xdr:rowOff>
    </xdr:to>
    <xdr:sp macro="" textlink="">
      <xdr:nvSpPr>
        <xdr:cNvPr id="4008" name="Arrow: Down 4007">
          <a:extLst>
            <a:ext uri="{FF2B5EF4-FFF2-40B4-BE49-F238E27FC236}">
              <a16:creationId xmlns:a16="http://schemas.microsoft.com/office/drawing/2014/main" id="{65D52E07-7D5E-423E-91F6-60506C513F93}"/>
            </a:ext>
          </a:extLst>
        </xdr:cNvPr>
        <xdr:cNvSpPr/>
      </xdr:nvSpPr>
      <xdr:spPr>
        <a:xfrm>
          <a:off x="1154430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526</xdr:row>
      <xdr:rowOff>0</xdr:rowOff>
    </xdr:from>
    <xdr:to>
      <xdr:col>71</xdr:col>
      <xdr:colOff>83820</xdr:colOff>
      <xdr:row>526</xdr:row>
      <xdr:rowOff>114300</xdr:rowOff>
    </xdr:to>
    <xdr:sp macro="" textlink="">
      <xdr:nvSpPr>
        <xdr:cNvPr id="4009" name="Arrow: Down 4008">
          <a:extLst>
            <a:ext uri="{FF2B5EF4-FFF2-40B4-BE49-F238E27FC236}">
              <a16:creationId xmlns:a16="http://schemas.microsoft.com/office/drawing/2014/main" id="{4CE3612E-9BFE-4AD3-A521-F5A2C8AB6D1D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526</xdr:row>
      <xdr:rowOff>0</xdr:rowOff>
    </xdr:from>
    <xdr:to>
      <xdr:col>5</xdr:col>
      <xdr:colOff>83820</xdr:colOff>
      <xdr:row>526</xdr:row>
      <xdr:rowOff>114300</xdr:rowOff>
    </xdr:to>
    <xdr:sp macro="" textlink="">
      <xdr:nvSpPr>
        <xdr:cNvPr id="4010" name="Arrow: Down 4009">
          <a:extLst>
            <a:ext uri="{FF2B5EF4-FFF2-40B4-BE49-F238E27FC236}">
              <a16:creationId xmlns:a16="http://schemas.microsoft.com/office/drawing/2014/main" id="{91BDE59A-0602-48BE-AA14-004A293798E2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526</xdr:row>
      <xdr:rowOff>0</xdr:rowOff>
    </xdr:from>
    <xdr:to>
      <xdr:col>11</xdr:col>
      <xdr:colOff>83820</xdr:colOff>
      <xdr:row>526</xdr:row>
      <xdr:rowOff>114300</xdr:rowOff>
    </xdr:to>
    <xdr:sp macro="" textlink="">
      <xdr:nvSpPr>
        <xdr:cNvPr id="4011" name="Arrow: Down 4010">
          <a:extLst>
            <a:ext uri="{FF2B5EF4-FFF2-40B4-BE49-F238E27FC236}">
              <a16:creationId xmlns:a16="http://schemas.microsoft.com/office/drawing/2014/main" id="{B54E07FC-83A2-415F-8769-79737E04B74F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526</xdr:row>
      <xdr:rowOff>0</xdr:rowOff>
    </xdr:from>
    <xdr:to>
      <xdr:col>24</xdr:col>
      <xdr:colOff>83820</xdr:colOff>
      <xdr:row>526</xdr:row>
      <xdr:rowOff>114300</xdr:rowOff>
    </xdr:to>
    <xdr:sp macro="" textlink="">
      <xdr:nvSpPr>
        <xdr:cNvPr id="4013" name="Arrow: Down 4012">
          <a:extLst>
            <a:ext uri="{FF2B5EF4-FFF2-40B4-BE49-F238E27FC236}">
              <a16:creationId xmlns:a16="http://schemas.microsoft.com/office/drawing/2014/main" id="{F7C3BD95-0B7F-42C8-A8AD-D4BF5298C4B2}"/>
            </a:ext>
          </a:extLst>
        </xdr:cNvPr>
        <xdr:cNvSpPr/>
      </xdr:nvSpPr>
      <xdr:spPr>
        <a:xfrm>
          <a:off x="83362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526</xdr:row>
      <xdr:rowOff>0</xdr:rowOff>
    </xdr:from>
    <xdr:to>
      <xdr:col>60</xdr:col>
      <xdr:colOff>83820</xdr:colOff>
      <xdr:row>526</xdr:row>
      <xdr:rowOff>114300</xdr:rowOff>
    </xdr:to>
    <xdr:sp macro="" textlink="">
      <xdr:nvSpPr>
        <xdr:cNvPr id="4015" name="Arrow: Down 4014">
          <a:extLst>
            <a:ext uri="{FF2B5EF4-FFF2-40B4-BE49-F238E27FC236}">
              <a16:creationId xmlns:a16="http://schemas.microsoft.com/office/drawing/2014/main" id="{610E8CF8-7DA0-49BD-B911-2C282470439F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527</xdr:row>
      <xdr:rowOff>0</xdr:rowOff>
    </xdr:from>
    <xdr:to>
      <xdr:col>45</xdr:col>
      <xdr:colOff>83820</xdr:colOff>
      <xdr:row>527</xdr:row>
      <xdr:rowOff>114300</xdr:rowOff>
    </xdr:to>
    <xdr:sp macro="" textlink="">
      <xdr:nvSpPr>
        <xdr:cNvPr id="3852" name="Arrow: Down 3851">
          <a:extLst>
            <a:ext uri="{FF2B5EF4-FFF2-40B4-BE49-F238E27FC236}">
              <a16:creationId xmlns:a16="http://schemas.microsoft.com/office/drawing/2014/main" id="{8116E2A4-018D-4F6D-8045-D4F81B6CDA76}"/>
            </a:ext>
          </a:extLst>
        </xdr:cNvPr>
        <xdr:cNvSpPr/>
      </xdr:nvSpPr>
      <xdr:spPr>
        <a:xfrm>
          <a:off x="134035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527</xdr:row>
      <xdr:rowOff>0</xdr:rowOff>
    </xdr:from>
    <xdr:to>
      <xdr:col>39</xdr:col>
      <xdr:colOff>83820</xdr:colOff>
      <xdr:row>527</xdr:row>
      <xdr:rowOff>114300</xdr:rowOff>
    </xdr:to>
    <xdr:sp macro="" textlink="">
      <xdr:nvSpPr>
        <xdr:cNvPr id="3856" name="Arrow: Down 3855">
          <a:extLst>
            <a:ext uri="{FF2B5EF4-FFF2-40B4-BE49-F238E27FC236}">
              <a16:creationId xmlns:a16="http://schemas.microsoft.com/office/drawing/2014/main" id="{894E5765-7314-44C3-B10A-B4473697C460}"/>
            </a:ext>
          </a:extLst>
        </xdr:cNvPr>
        <xdr:cNvSpPr/>
      </xdr:nvSpPr>
      <xdr:spPr>
        <a:xfrm>
          <a:off x="1154430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527</xdr:row>
      <xdr:rowOff>0</xdr:rowOff>
    </xdr:from>
    <xdr:to>
      <xdr:col>71</xdr:col>
      <xdr:colOff>83820</xdr:colOff>
      <xdr:row>527</xdr:row>
      <xdr:rowOff>114300</xdr:rowOff>
    </xdr:to>
    <xdr:sp macro="" textlink="">
      <xdr:nvSpPr>
        <xdr:cNvPr id="3859" name="Arrow: Down 3858">
          <a:extLst>
            <a:ext uri="{FF2B5EF4-FFF2-40B4-BE49-F238E27FC236}">
              <a16:creationId xmlns:a16="http://schemas.microsoft.com/office/drawing/2014/main" id="{BED6D7B1-FDBE-4FD8-88EC-18A0C3650D0A}"/>
            </a:ext>
          </a:extLst>
        </xdr:cNvPr>
        <xdr:cNvSpPr/>
      </xdr:nvSpPr>
      <xdr:spPr>
        <a:xfrm rot="10800000">
          <a:off x="216331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83820</xdr:colOff>
      <xdr:row>527</xdr:row>
      <xdr:rowOff>114300</xdr:rowOff>
    </xdr:to>
    <xdr:sp macro="" textlink="">
      <xdr:nvSpPr>
        <xdr:cNvPr id="3860" name="Arrow: Down 3859">
          <a:extLst>
            <a:ext uri="{FF2B5EF4-FFF2-40B4-BE49-F238E27FC236}">
              <a16:creationId xmlns:a16="http://schemas.microsoft.com/office/drawing/2014/main" id="{3CF500C1-E9E0-4241-8690-16FF0A4EFFC0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527</xdr:row>
      <xdr:rowOff>0</xdr:rowOff>
    </xdr:from>
    <xdr:to>
      <xdr:col>11</xdr:col>
      <xdr:colOff>83820</xdr:colOff>
      <xdr:row>527</xdr:row>
      <xdr:rowOff>114300</xdr:rowOff>
    </xdr:to>
    <xdr:sp macro="" textlink="">
      <xdr:nvSpPr>
        <xdr:cNvPr id="3861" name="Arrow: Down 3860">
          <a:extLst>
            <a:ext uri="{FF2B5EF4-FFF2-40B4-BE49-F238E27FC236}">
              <a16:creationId xmlns:a16="http://schemas.microsoft.com/office/drawing/2014/main" id="{295D0352-88B7-4FD6-816D-7B3743BAE7CC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527</xdr:row>
      <xdr:rowOff>0</xdr:rowOff>
    </xdr:from>
    <xdr:to>
      <xdr:col>60</xdr:col>
      <xdr:colOff>83820</xdr:colOff>
      <xdr:row>527</xdr:row>
      <xdr:rowOff>114300</xdr:rowOff>
    </xdr:to>
    <xdr:sp macro="" textlink="">
      <xdr:nvSpPr>
        <xdr:cNvPr id="3865" name="Arrow: Down 3864">
          <a:extLst>
            <a:ext uri="{FF2B5EF4-FFF2-40B4-BE49-F238E27FC236}">
              <a16:creationId xmlns:a16="http://schemas.microsoft.com/office/drawing/2014/main" id="{A2940E54-1776-4DD5-A222-B61238FE5EDC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527</xdr:row>
      <xdr:rowOff>0</xdr:rowOff>
    </xdr:from>
    <xdr:to>
      <xdr:col>24</xdr:col>
      <xdr:colOff>83820</xdr:colOff>
      <xdr:row>527</xdr:row>
      <xdr:rowOff>114300</xdr:rowOff>
    </xdr:to>
    <xdr:sp macro="" textlink="">
      <xdr:nvSpPr>
        <xdr:cNvPr id="3869" name="Arrow: Down 3868">
          <a:extLst>
            <a:ext uri="{FF2B5EF4-FFF2-40B4-BE49-F238E27FC236}">
              <a16:creationId xmlns:a16="http://schemas.microsoft.com/office/drawing/2014/main" id="{A311A206-00C7-43AD-9762-41BEF90DE209}"/>
            </a:ext>
          </a:extLst>
        </xdr:cNvPr>
        <xdr:cNvSpPr/>
      </xdr:nvSpPr>
      <xdr:spPr>
        <a:xfrm rot="10800000">
          <a:off x="83362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528</xdr:row>
      <xdr:rowOff>0</xdr:rowOff>
    </xdr:from>
    <xdr:to>
      <xdr:col>45</xdr:col>
      <xdr:colOff>83820</xdr:colOff>
      <xdr:row>528</xdr:row>
      <xdr:rowOff>114300</xdr:rowOff>
    </xdr:to>
    <xdr:sp macro="" textlink="">
      <xdr:nvSpPr>
        <xdr:cNvPr id="3872" name="Arrow: Down 3871">
          <a:extLst>
            <a:ext uri="{FF2B5EF4-FFF2-40B4-BE49-F238E27FC236}">
              <a16:creationId xmlns:a16="http://schemas.microsoft.com/office/drawing/2014/main" id="{BA98207E-8C20-4E27-8040-77015F969CFC}"/>
            </a:ext>
          </a:extLst>
        </xdr:cNvPr>
        <xdr:cNvSpPr/>
      </xdr:nvSpPr>
      <xdr:spPr>
        <a:xfrm>
          <a:off x="134035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528</xdr:row>
      <xdr:rowOff>0</xdr:rowOff>
    </xdr:from>
    <xdr:to>
      <xdr:col>39</xdr:col>
      <xdr:colOff>83820</xdr:colOff>
      <xdr:row>528</xdr:row>
      <xdr:rowOff>114300</xdr:rowOff>
    </xdr:to>
    <xdr:sp macro="" textlink="">
      <xdr:nvSpPr>
        <xdr:cNvPr id="3880" name="Arrow: Down 3879">
          <a:extLst>
            <a:ext uri="{FF2B5EF4-FFF2-40B4-BE49-F238E27FC236}">
              <a16:creationId xmlns:a16="http://schemas.microsoft.com/office/drawing/2014/main" id="{F597E5A5-EE10-47E5-8F33-D47641F9446D}"/>
            </a:ext>
          </a:extLst>
        </xdr:cNvPr>
        <xdr:cNvSpPr/>
      </xdr:nvSpPr>
      <xdr:spPr>
        <a:xfrm>
          <a:off x="1154430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528</xdr:row>
      <xdr:rowOff>0</xdr:rowOff>
    </xdr:from>
    <xdr:to>
      <xdr:col>71</xdr:col>
      <xdr:colOff>83820</xdr:colOff>
      <xdr:row>528</xdr:row>
      <xdr:rowOff>114300</xdr:rowOff>
    </xdr:to>
    <xdr:sp macro="" textlink="">
      <xdr:nvSpPr>
        <xdr:cNvPr id="3889" name="Arrow: Down 3888">
          <a:extLst>
            <a:ext uri="{FF2B5EF4-FFF2-40B4-BE49-F238E27FC236}">
              <a16:creationId xmlns:a16="http://schemas.microsoft.com/office/drawing/2014/main" id="{234DD00E-BC4A-4FBB-B299-C0EAC5F0734C}"/>
            </a:ext>
          </a:extLst>
        </xdr:cNvPr>
        <xdr:cNvSpPr/>
      </xdr:nvSpPr>
      <xdr:spPr>
        <a:xfrm rot="10800000">
          <a:off x="216331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528</xdr:row>
      <xdr:rowOff>0</xdr:rowOff>
    </xdr:from>
    <xdr:to>
      <xdr:col>5</xdr:col>
      <xdr:colOff>83820</xdr:colOff>
      <xdr:row>528</xdr:row>
      <xdr:rowOff>114300</xdr:rowOff>
    </xdr:to>
    <xdr:sp macro="" textlink="">
      <xdr:nvSpPr>
        <xdr:cNvPr id="3890" name="Arrow: Down 3889">
          <a:extLst>
            <a:ext uri="{FF2B5EF4-FFF2-40B4-BE49-F238E27FC236}">
              <a16:creationId xmlns:a16="http://schemas.microsoft.com/office/drawing/2014/main" id="{8818574F-BE8A-406D-B902-B7441651458F}"/>
            </a:ext>
          </a:extLst>
        </xdr:cNvPr>
        <xdr:cNvSpPr/>
      </xdr:nvSpPr>
      <xdr:spPr>
        <a:xfrm>
          <a:off x="192786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528</xdr:row>
      <xdr:rowOff>0</xdr:rowOff>
    </xdr:from>
    <xdr:to>
      <xdr:col>11</xdr:col>
      <xdr:colOff>83820</xdr:colOff>
      <xdr:row>528</xdr:row>
      <xdr:rowOff>114300</xdr:rowOff>
    </xdr:to>
    <xdr:sp macro="" textlink="">
      <xdr:nvSpPr>
        <xdr:cNvPr id="3891" name="Arrow: Down 3890">
          <a:extLst>
            <a:ext uri="{FF2B5EF4-FFF2-40B4-BE49-F238E27FC236}">
              <a16:creationId xmlns:a16="http://schemas.microsoft.com/office/drawing/2014/main" id="{AD7ABDD9-81E0-4CE9-BDA6-3885DE7C3303}"/>
            </a:ext>
          </a:extLst>
        </xdr:cNvPr>
        <xdr:cNvSpPr/>
      </xdr:nvSpPr>
      <xdr:spPr>
        <a:xfrm>
          <a:off x="369570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528</xdr:row>
      <xdr:rowOff>0</xdr:rowOff>
    </xdr:from>
    <xdr:to>
      <xdr:col>24</xdr:col>
      <xdr:colOff>83820</xdr:colOff>
      <xdr:row>528</xdr:row>
      <xdr:rowOff>114300</xdr:rowOff>
    </xdr:to>
    <xdr:sp macro="" textlink="">
      <xdr:nvSpPr>
        <xdr:cNvPr id="3916" name="Arrow: Down 3915">
          <a:extLst>
            <a:ext uri="{FF2B5EF4-FFF2-40B4-BE49-F238E27FC236}">
              <a16:creationId xmlns:a16="http://schemas.microsoft.com/office/drawing/2014/main" id="{A9A99D6B-A16C-4BDA-A5D2-60EB54B3ADA1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528</xdr:row>
      <xdr:rowOff>0</xdr:rowOff>
    </xdr:from>
    <xdr:to>
      <xdr:col>60</xdr:col>
      <xdr:colOff>83820</xdr:colOff>
      <xdr:row>528</xdr:row>
      <xdr:rowOff>114300</xdr:rowOff>
    </xdr:to>
    <xdr:sp macro="" textlink="">
      <xdr:nvSpPr>
        <xdr:cNvPr id="3917" name="Arrow: Down 3916">
          <a:extLst>
            <a:ext uri="{FF2B5EF4-FFF2-40B4-BE49-F238E27FC236}">
              <a16:creationId xmlns:a16="http://schemas.microsoft.com/office/drawing/2014/main" id="{EB812C46-92F0-4FF2-A49D-40D1408E645D}"/>
            </a:ext>
          </a:extLst>
        </xdr:cNvPr>
        <xdr:cNvSpPr/>
      </xdr:nvSpPr>
      <xdr:spPr>
        <a:xfrm rot="10800000">
          <a:off x="190804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529</xdr:row>
      <xdr:rowOff>0</xdr:rowOff>
    </xdr:from>
    <xdr:to>
      <xdr:col>45</xdr:col>
      <xdr:colOff>83820</xdr:colOff>
      <xdr:row>529</xdr:row>
      <xdr:rowOff>114300</xdr:rowOff>
    </xdr:to>
    <xdr:sp macro="" textlink="">
      <xdr:nvSpPr>
        <xdr:cNvPr id="3918" name="Arrow: Down 3917">
          <a:extLst>
            <a:ext uri="{FF2B5EF4-FFF2-40B4-BE49-F238E27FC236}">
              <a16:creationId xmlns:a16="http://schemas.microsoft.com/office/drawing/2014/main" id="{881C2743-526F-47FF-A5ED-00B9FF246626}"/>
            </a:ext>
          </a:extLst>
        </xdr:cNvPr>
        <xdr:cNvSpPr/>
      </xdr:nvSpPr>
      <xdr:spPr>
        <a:xfrm>
          <a:off x="134035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529</xdr:row>
      <xdr:rowOff>0</xdr:rowOff>
    </xdr:from>
    <xdr:to>
      <xdr:col>39</xdr:col>
      <xdr:colOff>83820</xdr:colOff>
      <xdr:row>529</xdr:row>
      <xdr:rowOff>114300</xdr:rowOff>
    </xdr:to>
    <xdr:sp macro="" textlink="">
      <xdr:nvSpPr>
        <xdr:cNvPr id="3919" name="Arrow: Down 3918">
          <a:extLst>
            <a:ext uri="{FF2B5EF4-FFF2-40B4-BE49-F238E27FC236}">
              <a16:creationId xmlns:a16="http://schemas.microsoft.com/office/drawing/2014/main" id="{68357846-2055-4CA1-8F27-1010A4482D70}"/>
            </a:ext>
          </a:extLst>
        </xdr:cNvPr>
        <xdr:cNvSpPr/>
      </xdr:nvSpPr>
      <xdr:spPr>
        <a:xfrm>
          <a:off x="1154430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529</xdr:row>
      <xdr:rowOff>0</xdr:rowOff>
    </xdr:from>
    <xdr:to>
      <xdr:col>71</xdr:col>
      <xdr:colOff>83820</xdr:colOff>
      <xdr:row>529</xdr:row>
      <xdr:rowOff>114300</xdr:rowOff>
    </xdr:to>
    <xdr:sp macro="" textlink="">
      <xdr:nvSpPr>
        <xdr:cNvPr id="3920" name="Arrow: Down 3919">
          <a:extLst>
            <a:ext uri="{FF2B5EF4-FFF2-40B4-BE49-F238E27FC236}">
              <a16:creationId xmlns:a16="http://schemas.microsoft.com/office/drawing/2014/main" id="{48EB93F6-3840-4100-A1B6-8FDD03096415}"/>
            </a:ext>
          </a:extLst>
        </xdr:cNvPr>
        <xdr:cNvSpPr/>
      </xdr:nvSpPr>
      <xdr:spPr>
        <a:xfrm rot="10800000">
          <a:off x="216331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529</xdr:row>
      <xdr:rowOff>0</xdr:rowOff>
    </xdr:from>
    <xdr:to>
      <xdr:col>5</xdr:col>
      <xdr:colOff>83820</xdr:colOff>
      <xdr:row>529</xdr:row>
      <xdr:rowOff>114300</xdr:rowOff>
    </xdr:to>
    <xdr:sp macro="" textlink="">
      <xdr:nvSpPr>
        <xdr:cNvPr id="3925" name="Arrow: Down 3924">
          <a:extLst>
            <a:ext uri="{FF2B5EF4-FFF2-40B4-BE49-F238E27FC236}">
              <a16:creationId xmlns:a16="http://schemas.microsoft.com/office/drawing/2014/main" id="{71064211-894E-45A4-BF2A-66B2DD7B8632}"/>
            </a:ext>
          </a:extLst>
        </xdr:cNvPr>
        <xdr:cNvSpPr/>
      </xdr:nvSpPr>
      <xdr:spPr>
        <a:xfrm>
          <a:off x="192786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529</xdr:row>
      <xdr:rowOff>0</xdr:rowOff>
    </xdr:from>
    <xdr:to>
      <xdr:col>11</xdr:col>
      <xdr:colOff>83820</xdr:colOff>
      <xdr:row>529</xdr:row>
      <xdr:rowOff>114300</xdr:rowOff>
    </xdr:to>
    <xdr:sp macro="" textlink="">
      <xdr:nvSpPr>
        <xdr:cNvPr id="3944" name="Arrow: Down 3943">
          <a:extLst>
            <a:ext uri="{FF2B5EF4-FFF2-40B4-BE49-F238E27FC236}">
              <a16:creationId xmlns:a16="http://schemas.microsoft.com/office/drawing/2014/main" id="{5D0AC454-9C2A-44E1-9D3F-9FBFE43A0FBF}"/>
            </a:ext>
          </a:extLst>
        </xdr:cNvPr>
        <xdr:cNvSpPr/>
      </xdr:nvSpPr>
      <xdr:spPr>
        <a:xfrm>
          <a:off x="369570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529</xdr:row>
      <xdr:rowOff>0</xdr:rowOff>
    </xdr:from>
    <xdr:to>
      <xdr:col>24</xdr:col>
      <xdr:colOff>83820</xdr:colOff>
      <xdr:row>529</xdr:row>
      <xdr:rowOff>114300</xdr:rowOff>
    </xdr:to>
    <xdr:sp macro="" textlink="">
      <xdr:nvSpPr>
        <xdr:cNvPr id="3945" name="Arrow: Down 3944">
          <a:extLst>
            <a:ext uri="{FF2B5EF4-FFF2-40B4-BE49-F238E27FC236}">
              <a16:creationId xmlns:a16="http://schemas.microsoft.com/office/drawing/2014/main" id="{19C37FEC-8B49-4ACE-8CD3-3A92BFAAD9BE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529</xdr:row>
      <xdr:rowOff>0</xdr:rowOff>
    </xdr:from>
    <xdr:to>
      <xdr:col>60</xdr:col>
      <xdr:colOff>83820</xdr:colOff>
      <xdr:row>529</xdr:row>
      <xdr:rowOff>114300</xdr:rowOff>
    </xdr:to>
    <xdr:sp macro="" textlink="">
      <xdr:nvSpPr>
        <xdr:cNvPr id="3948" name="Arrow: Down 3947">
          <a:extLst>
            <a:ext uri="{FF2B5EF4-FFF2-40B4-BE49-F238E27FC236}">
              <a16:creationId xmlns:a16="http://schemas.microsoft.com/office/drawing/2014/main" id="{497278DC-FD15-40CD-BC19-5FE955274C21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530</xdr:row>
      <xdr:rowOff>0</xdr:rowOff>
    </xdr:from>
    <xdr:to>
      <xdr:col>60</xdr:col>
      <xdr:colOff>83820</xdr:colOff>
      <xdr:row>530</xdr:row>
      <xdr:rowOff>114300</xdr:rowOff>
    </xdr:to>
    <xdr:sp macro="" textlink="">
      <xdr:nvSpPr>
        <xdr:cNvPr id="3862" name="Arrow: Down 3861">
          <a:extLst>
            <a:ext uri="{FF2B5EF4-FFF2-40B4-BE49-F238E27FC236}">
              <a16:creationId xmlns:a16="http://schemas.microsoft.com/office/drawing/2014/main" id="{091B53E0-E7DA-45EF-8286-A7D72FE33C37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530</xdr:row>
      <xdr:rowOff>0</xdr:rowOff>
    </xdr:from>
    <xdr:to>
      <xdr:col>71</xdr:col>
      <xdr:colOff>83820</xdr:colOff>
      <xdr:row>530</xdr:row>
      <xdr:rowOff>114300</xdr:rowOff>
    </xdr:to>
    <xdr:sp macro="" textlink="">
      <xdr:nvSpPr>
        <xdr:cNvPr id="3892" name="Arrow: Down 3891">
          <a:extLst>
            <a:ext uri="{FF2B5EF4-FFF2-40B4-BE49-F238E27FC236}">
              <a16:creationId xmlns:a16="http://schemas.microsoft.com/office/drawing/2014/main" id="{96443913-163B-4B94-BB86-80BE1AEF86D2}"/>
            </a:ext>
          </a:extLst>
        </xdr:cNvPr>
        <xdr:cNvSpPr/>
      </xdr:nvSpPr>
      <xdr:spPr>
        <a:xfrm>
          <a:off x="216331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530</xdr:row>
      <xdr:rowOff>0</xdr:rowOff>
    </xdr:from>
    <xdr:to>
      <xdr:col>45</xdr:col>
      <xdr:colOff>83820</xdr:colOff>
      <xdr:row>530</xdr:row>
      <xdr:rowOff>114300</xdr:rowOff>
    </xdr:to>
    <xdr:sp macro="" textlink="">
      <xdr:nvSpPr>
        <xdr:cNvPr id="3893" name="Arrow: Down 3892">
          <a:extLst>
            <a:ext uri="{FF2B5EF4-FFF2-40B4-BE49-F238E27FC236}">
              <a16:creationId xmlns:a16="http://schemas.microsoft.com/office/drawing/2014/main" id="{BB53B721-603D-4E8B-B416-C65F0CDB8F3A}"/>
            </a:ext>
          </a:extLst>
        </xdr:cNvPr>
        <xdr:cNvSpPr/>
      </xdr:nvSpPr>
      <xdr:spPr>
        <a:xfrm rot="10800000">
          <a:off x="134035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530</xdr:row>
      <xdr:rowOff>0</xdr:rowOff>
    </xdr:from>
    <xdr:to>
      <xdr:col>39</xdr:col>
      <xdr:colOff>83820</xdr:colOff>
      <xdr:row>530</xdr:row>
      <xdr:rowOff>114300</xdr:rowOff>
    </xdr:to>
    <xdr:sp macro="" textlink="">
      <xdr:nvSpPr>
        <xdr:cNvPr id="3911" name="Arrow: Down 3910">
          <a:extLst>
            <a:ext uri="{FF2B5EF4-FFF2-40B4-BE49-F238E27FC236}">
              <a16:creationId xmlns:a16="http://schemas.microsoft.com/office/drawing/2014/main" id="{C0D5B896-B58B-4E01-85B7-D94B0DB4C0A9}"/>
            </a:ext>
          </a:extLst>
        </xdr:cNvPr>
        <xdr:cNvSpPr/>
      </xdr:nvSpPr>
      <xdr:spPr>
        <a:xfrm rot="10800000">
          <a:off x="1154430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530</xdr:row>
      <xdr:rowOff>0</xdr:rowOff>
    </xdr:from>
    <xdr:to>
      <xdr:col>5</xdr:col>
      <xdr:colOff>83820</xdr:colOff>
      <xdr:row>530</xdr:row>
      <xdr:rowOff>114300</xdr:rowOff>
    </xdr:to>
    <xdr:sp macro="" textlink="">
      <xdr:nvSpPr>
        <xdr:cNvPr id="3946" name="Arrow: Down 3945">
          <a:extLst>
            <a:ext uri="{FF2B5EF4-FFF2-40B4-BE49-F238E27FC236}">
              <a16:creationId xmlns:a16="http://schemas.microsoft.com/office/drawing/2014/main" id="{0CBCBAC6-5B1D-4F1E-ACFA-1A2544F9E9E1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530</xdr:row>
      <xdr:rowOff>0</xdr:rowOff>
    </xdr:from>
    <xdr:to>
      <xdr:col>11</xdr:col>
      <xdr:colOff>83820</xdr:colOff>
      <xdr:row>530</xdr:row>
      <xdr:rowOff>114300</xdr:rowOff>
    </xdr:to>
    <xdr:sp macro="" textlink="">
      <xdr:nvSpPr>
        <xdr:cNvPr id="3956" name="Arrow: Down 3955">
          <a:extLst>
            <a:ext uri="{FF2B5EF4-FFF2-40B4-BE49-F238E27FC236}">
              <a16:creationId xmlns:a16="http://schemas.microsoft.com/office/drawing/2014/main" id="{981822B8-4CAE-49CF-8F43-607A01A1067D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530</xdr:row>
      <xdr:rowOff>0</xdr:rowOff>
    </xdr:from>
    <xdr:to>
      <xdr:col>24</xdr:col>
      <xdr:colOff>83820</xdr:colOff>
      <xdr:row>530</xdr:row>
      <xdr:rowOff>114300</xdr:rowOff>
    </xdr:to>
    <xdr:sp macro="" textlink="">
      <xdr:nvSpPr>
        <xdr:cNvPr id="3957" name="Arrow: Down 3956">
          <a:extLst>
            <a:ext uri="{FF2B5EF4-FFF2-40B4-BE49-F238E27FC236}">
              <a16:creationId xmlns:a16="http://schemas.microsoft.com/office/drawing/2014/main" id="{6E426A88-4B38-4039-86EC-F61E4216FE72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531</xdr:row>
      <xdr:rowOff>0</xdr:rowOff>
    </xdr:from>
    <xdr:to>
      <xdr:col>5</xdr:col>
      <xdr:colOff>83820</xdr:colOff>
      <xdr:row>531</xdr:row>
      <xdr:rowOff>114300</xdr:rowOff>
    </xdr:to>
    <xdr:sp macro="" textlink="">
      <xdr:nvSpPr>
        <xdr:cNvPr id="3967" name="Arrow: Down 3966">
          <a:extLst>
            <a:ext uri="{FF2B5EF4-FFF2-40B4-BE49-F238E27FC236}">
              <a16:creationId xmlns:a16="http://schemas.microsoft.com/office/drawing/2014/main" id="{DF1B9EF8-83D4-4D12-BE0F-4D192810AC5B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531</xdr:row>
      <xdr:rowOff>0</xdr:rowOff>
    </xdr:from>
    <xdr:to>
      <xdr:col>11</xdr:col>
      <xdr:colOff>83820</xdr:colOff>
      <xdr:row>531</xdr:row>
      <xdr:rowOff>114300</xdr:rowOff>
    </xdr:to>
    <xdr:sp macro="" textlink="">
      <xdr:nvSpPr>
        <xdr:cNvPr id="3969" name="Arrow: Down 3968">
          <a:extLst>
            <a:ext uri="{FF2B5EF4-FFF2-40B4-BE49-F238E27FC236}">
              <a16:creationId xmlns:a16="http://schemas.microsoft.com/office/drawing/2014/main" id="{CD8DEDA0-A425-415A-837C-E63A122E05E2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531</xdr:row>
      <xdr:rowOff>0</xdr:rowOff>
    </xdr:from>
    <xdr:to>
      <xdr:col>24</xdr:col>
      <xdr:colOff>83820</xdr:colOff>
      <xdr:row>531</xdr:row>
      <xdr:rowOff>114300</xdr:rowOff>
    </xdr:to>
    <xdr:sp macro="" textlink="">
      <xdr:nvSpPr>
        <xdr:cNvPr id="3976" name="Arrow: Down 3975">
          <a:extLst>
            <a:ext uri="{FF2B5EF4-FFF2-40B4-BE49-F238E27FC236}">
              <a16:creationId xmlns:a16="http://schemas.microsoft.com/office/drawing/2014/main" id="{3361281C-6F2B-4502-868D-98C2F00A6081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531</xdr:row>
      <xdr:rowOff>0</xdr:rowOff>
    </xdr:from>
    <xdr:to>
      <xdr:col>45</xdr:col>
      <xdr:colOff>83820</xdr:colOff>
      <xdr:row>531</xdr:row>
      <xdr:rowOff>114300</xdr:rowOff>
    </xdr:to>
    <xdr:sp macro="" textlink="">
      <xdr:nvSpPr>
        <xdr:cNvPr id="3977" name="Arrow: Down 3976">
          <a:extLst>
            <a:ext uri="{FF2B5EF4-FFF2-40B4-BE49-F238E27FC236}">
              <a16:creationId xmlns:a16="http://schemas.microsoft.com/office/drawing/2014/main" id="{B0E78E9D-AAA1-488C-BADD-92C3DF5DDBB5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531</xdr:row>
      <xdr:rowOff>0</xdr:rowOff>
    </xdr:from>
    <xdr:to>
      <xdr:col>39</xdr:col>
      <xdr:colOff>83820</xdr:colOff>
      <xdr:row>531</xdr:row>
      <xdr:rowOff>114300</xdr:rowOff>
    </xdr:to>
    <xdr:sp macro="" textlink="">
      <xdr:nvSpPr>
        <xdr:cNvPr id="3978" name="Arrow: Down 3977">
          <a:extLst>
            <a:ext uri="{FF2B5EF4-FFF2-40B4-BE49-F238E27FC236}">
              <a16:creationId xmlns:a16="http://schemas.microsoft.com/office/drawing/2014/main" id="{4C3D535A-71BB-44F6-BA45-94379D93D10E}"/>
            </a:ext>
          </a:extLst>
        </xdr:cNvPr>
        <xdr:cNvSpPr/>
      </xdr:nvSpPr>
      <xdr:spPr>
        <a:xfrm>
          <a:off x="115443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531</xdr:row>
      <xdr:rowOff>0</xdr:rowOff>
    </xdr:from>
    <xdr:to>
      <xdr:col>71</xdr:col>
      <xdr:colOff>83820</xdr:colOff>
      <xdr:row>531</xdr:row>
      <xdr:rowOff>114300</xdr:rowOff>
    </xdr:to>
    <xdr:sp macro="" textlink="">
      <xdr:nvSpPr>
        <xdr:cNvPr id="3979" name="Arrow: Down 3978">
          <a:extLst>
            <a:ext uri="{FF2B5EF4-FFF2-40B4-BE49-F238E27FC236}">
              <a16:creationId xmlns:a16="http://schemas.microsoft.com/office/drawing/2014/main" id="{DA2B7D19-95F4-4B76-8C70-692369B9EDD6}"/>
            </a:ext>
          </a:extLst>
        </xdr:cNvPr>
        <xdr:cNvSpPr/>
      </xdr:nvSpPr>
      <xdr:spPr>
        <a:xfrm rot="10800000">
          <a:off x="216331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531</xdr:row>
      <xdr:rowOff>0</xdr:rowOff>
    </xdr:from>
    <xdr:to>
      <xdr:col>60</xdr:col>
      <xdr:colOff>83820</xdr:colOff>
      <xdr:row>531</xdr:row>
      <xdr:rowOff>114300</xdr:rowOff>
    </xdr:to>
    <xdr:sp macro="" textlink="">
      <xdr:nvSpPr>
        <xdr:cNvPr id="3992" name="Arrow: Down 3991">
          <a:extLst>
            <a:ext uri="{FF2B5EF4-FFF2-40B4-BE49-F238E27FC236}">
              <a16:creationId xmlns:a16="http://schemas.microsoft.com/office/drawing/2014/main" id="{92FB2641-077C-48F2-95CE-40AA30FF3369}"/>
            </a:ext>
          </a:extLst>
        </xdr:cNvPr>
        <xdr:cNvSpPr/>
      </xdr:nvSpPr>
      <xdr:spPr>
        <a:xfrm rot="10800000">
          <a:off x="190804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532</xdr:row>
      <xdr:rowOff>0</xdr:rowOff>
    </xdr:from>
    <xdr:to>
      <xdr:col>5</xdr:col>
      <xdr:colOff>83820</xdr:colOff>
      <xdr:row>532</xdr:row>
      <xdr:rowOff>114300</xdr:rowOff>
    </xdr:to>
    <xdr:sp macro="" textlink="">
      <xdr:nvSpPr>
        <xdr:cNvPr id="3996" name="Arrow: Down 3995">
          <a:extLst>
            <a:ext uri="{FF2B5EF4-FFF2-40B4-BE49-F238E27FC236}">
              <a16:creationId xmlns:a16="http://schemas.microsoft.com/office/drawing/2014/main" id="{EFC556EC-2309-41FB-9A50-6FE282F85116}"/>
            </a:ext>
          </a:extLst>
        </xdr:cNvPr>
        <xdr:cNvSpPr/>
      </xdr:nvSpPr>
      <xdr:spPr>
        <a:xfrm rot="10800000">
          <a:off x="192786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532</xdr:row>
      <xdr:rowOff>0</xdr:rowOff>
    </xdr:from>
    <xdr:to>
      <xdr:col>11</xdr:col>
      <xdr:colOff>83820</xdr:colOff>
      <xdr:row>532</xdr:row>
      <xdr:rowOff>114300</xdr:rowOff>
    </xdr:to>
    <xdr:sp macro="" textlink="">
      <xdr:nvSpPr>
        <xdr:cNvPr id="4004" name="Arrow: Down 4003">
          <a:extLst>
            <a:ext uri="{FF2B5EF4-FFF2-40B4-BE49-F238E27FC236}">
              <a16:creationId xmlns:a16="http://schemas.microsoft.com/office/drawing/2014/main" id="{00ABCB17-46F8-4DF5-951B-C99FBFF3BFA2}"/>
            </a:ext>
          </a:extLst>
        </xdr:cNvPr>
        <xdr:cNvSpPr/>
      </xdr:nvSpPr>
      <xdr:spPr>
        <a:xfrm rot="10800000">
          <a:off x="36957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532</xdr:row>
      <xdr:rowOff>0</xdr:rowOff>
    </xdr:from>
    <xdr:to>
      <xdr:col>24</xdr:col>
      <xdr:colOff>83820</xdr:colOff>
      <xdr:row>532</xdr:row>
      <xdr:rowOff>114300</xdr:rowOff>
    </xdr:to>
    <xdr:sp macro="" textlink="">
      <xdr:nvSpPr>
        <xdr:cNvPr id="4005" name="Arrow: Down 4004">
          <a:extLst>
            <a:ext uri="{FF2B5EF4-FFF2-40B4-BE49-F238E27FC236}">
              <a16:creationId xmlns:a16="http://schemas.microsoft.com/office/drawing/2014/main" id="{B5EC0F38-F69A-43A7-B5AA-99646CBB7AE6}"/>
            </a:ext>
          </a:extLst>
        </xdr:cNvPr>
        <xdr:cNvSpPr/>
      </xdr:nvSpPr>
      <xdr:spPr>
        <a:xfrm rot="10800000">
          <a:off x="83362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532</xdr:row>
      <xdr:rowOff>0</xdr:rowOff>
    </xdr:from>
    <xdr:to>
      <xdr:col>45</xdr:col>
      <xdr:colOff>83820</xdr:colOff>
      <xdr:row>532</xdr:row>
      <xdr:rowOff>114300</xdr:rowOff>
    </xdr:to>
    <xdr:sp macro="" textlink="">
      <xdr:nvSpPr>
        <xdr:cNvPr id="4006" name="Arrow: Down 4005">
          <a:extLst>
            <a:ext uri="{FF2B5EF4-FFF2-40B4-BE49-F238E27FC236}">
              <a16:creationId xmlns:a16="http://schemas.microsoft.com/office/drawing/2014/main" id="{461F57FA-23BE-4011-B7E0-F525B94FEF14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532</xdr:row>
      <xdr:rowOff>0</xdr:rowOff>
    </xdr:from>
    <xdr:to>
      <xdr:col>39</xdr:col>
      <xdr:colOff>83820</xdr:colOff>
      <xdr:row>532</xdr:row>
      <xdr:rowOff>114300</xdr:rowOff>
    </xdr:to>
    <xdr:sp macro="" textlink="">
      <xdr:nvSpPr>
        <xdr:cNvPr id="4016" name="Arrow: Down 4015">
          <a:extLst>
            <a:ext uri="{FF2B5EF4-FFF2-40B4-BE49-F238E27FC236}">
              <a16:creationId xmlns:a16="http://schemas.microsoft.com/office/drawing/2014/main" id="{495390DF-A1E0-4981-8CA6-D74667C36DF7}"/>
            </a:ext>
          </a:extLst>
        </xdr:cNvPr>
        <xdr:cNvSpPr/>
      </xdr:nvSpPr>
      <xdr:spPr>
        <a:xfrm rot="10800000">
          <a:off x="1154430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532</xdr:row>
      <xdr:rowOff>0</xdr:rowOff>
    </xdr:from>
    <xdr:to>
      <xdr:col>71</xdr:col>
      <xdr:colOff>83820</xdr:colOff>
      <xdr:row>532</xdr:row>
      <xdr:rowOff>114300</xdr:rowOff>
    </xdr:to>
    <xdr:sp macro="" textlink="">
      <xdr:nvSpPr>
        <xdr:cNvPr id="4017" name="Arrow: Down 4016">
          <a:extLst>
            <a:ext uri="{FF2B5EF4-FFF2-40B4-BE49-F238E27FC236}">
              <a16:creationId xmlns:a16="http://schemas.microsoft.com/office/drawing/2014/main" id="{7E97A5CC-0749-490E-8F65-7E5555098C7F}"/>
            </a:ext>
          </a:extLst>
        </xdr:cNvPr>
        <xdr:cNvSpPr/>
      </xdr:nvSpPr>
      <xdr:spPr>
        <a:xfrm>
          <a:off x="216331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532</xdr:row>
      <xdr:rowOff>0</xdr:rowOff>
    </xdr:from>
    <xdr:to>
      <xdr:col>60</xdr:col>
      <xdr:colOff>83820</xdr:colOff>
      <xdr:row>532</xdr:row>
      <xdr:rowOff>114300</xdr:rowOff>
    </xdr:to>
    <xdr:sp macro="" textlink="">
      <xdr:nvSpPr>
        <xdr:cNvPr id="4018" name="Arrow: Down 4017">
          <a:extLst>
            <a:ext uri="{FF2B5EF4-FFF2-40B4-BE49-F238E27FC236}">
              <a16:creationId xmlns:a16="http://schemas.microsoft.com/office/drawing/2014/main" id="{50C59B18-0E70-4BC8-925D-3514489EABFD}"/>
            </a:ext>
          </a:extLst>
        </xdr:cNvPr>
        <xdr:cNvSpPr/>
      </xdr:nvSpPr>
      <xdr:spPr>
        <a:xfrm>
          <a:off x="190804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533</xdr:row>
      <xdr:rowOff>0</xdr:rowOff>
    </xdr:from>
    <xdr:to>
      <xdr:col>5</xdr:col>
      <xdr:colOff>83820</xdr:colOff>
      <xdr:row>533</xdr:row>
      <xdr:rowOff>114300</xdr:rowOff>
    </xdr:to>
    <xdr:sp macro="" textlink="">
      <xdr:nvSpPr>
        <xdr:cNvPr id="4019" name="Arrow: Down 4018">
          <a:extLst>
            <a:ext uri="{FF2B5EF4-FFF2-40B4-BE49-F238E27FC236}">
              <a16:creationId xmlns:a16="http://schemas.microsoft.com/office/drawing/2014/main" id="{A95ACD1D-1E0C-43A4-A64E-6D0B9CD11D3B}"/>
            </a:ext>
          </a:extLst>
        </xdr:cNvPr>
        <xdr:cNvSpPr/>
      </xdr:nvSpPr>
      <xdr:spPr>
        <a:xfrm rot="10800000">
          <a:off x="192786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533</xdr:row>
      <xdr:rowOff>0</xdr:rowOff>
    </xdr:from>
    <xdr:to>
      <xdr:col>11</xdr:col>
      <xdr:colOff>83820</xdr:colOff>
      <xdr:row>533</xdr:row>
      <xdr:rowOff>114300</xdr:rowOff>
    </xdr:to>
    <xdr:sp macro="" textlink="">
      <xdr:nvSpPr>
        <xdr:cNvPr id="4020" name="Arrow: Down 4019">
          <a:extLst>
            <a:ext uri="{FF2B5EF4-FFF2-40B4-BE49-F238E27FC236}">
              <a16:creationId xmlns:a16="http://schemas.microsoft.com/office/drawing/2014/main" id="{7F44AF02-0BD9-479F-85FB-51E60D1C8CD5}"/>
            </a:ext>
          </a:extLst>
        </xdr:cNvPr>
        <xdr:cNvSpPr/>
      </xdr:nvSpPr>
      <xdr:spPr>
        <a:xfrm rot="10800000">
          <a:off x="369570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533</xdr:row>
      <xdr:rowOff>0</xdr:rowOff>
    </xdr:from>
    <xdr:to>
      <xdr:col>24</xdr:col>
      <xdr:colOff>83820</xdr:colOff>
      <xdr:row>533</xdr:row>
      <xdr:rowOff>114300</xdr:rowOff>
    </xdr:to>
    <xdr:sp macro="" textlink="">
      <xdr:nvSpPr>
        <xdr:cNvPr id="4021" name="Arrow: Down 4020">
          <a:extLst>
            <a:ext uri="{FF2B5EF4-FFF2-40B4-BE49-F238E27FC236}">
              <a16:creationId xmlns:a16="http://schemas.microsoft.com/office/drawing/2014/main" id="{4B72249C-B89C-430A-85AF-634882E6775C}"/>
            </a:ext>
          </a:extLst>
        </xdr:cNvPr>
        <xdr:cNvSpPr/>
      </xdr:nvSpPr>
      <xdr:spPr>
        <a:xfrm rot="10800000">
          <a:off x="83362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533</xdr:row>
      <xdr:rowOff>0</xdr:rowOff>
    </xdr:from>
    <xdr:to>
      <xdr:col>45</xdr:col>
      <xdr:colOff>83820</xdr:colOff>
      <xdr:row>533</xdr:row>
      <xdr:rowOff>114300</xdr:rowOff>
    </xdr:to>
    <xdr:sp macro="" textlink="">
      <xdr:nvSpPr>
        <xdr:cNvPr id="4022" name="Arrow: Down 4021">
          <a:extLst>
            <a:ext uri="{FF2B5EF4-FFF2-40B4-BE49-F238E27FC236}">
              <a16:creationId xmlns:a16="http://schemas.microsoft.com/office/drawing/2014/main" id="{64E61EB8-573A-486E-9689-F051AA6437AE}"/>
            </a:ext>
          </a:extLst>
        </xdr:cNvPr>
        <xdr:cNvSpPr/>
      </xdr:nvSpPr>
      <xdr:spPr>
        <a:xfrm>
          <a:off x="134035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534</xdr:row>
      <xdr:rowOff>0</xdr:rowOff>
    </xdr:from>
    <xdr:to>
      <xdr:col>5</xdr:col>
      <xdr:colOff>83820</xdr:colOff>
      <xdr:row>534</xdr:row>
      <xdr:rowOff>114300</xdr:rowOff>
    </xdr:to>
    <xdr:sp macro="" textlink="">
      <xdr:nvSpPr>
        <xdr:cNvPr id="4026" name="Arrow: Down 4025">
          <a:extLst>
            <a:ext uri="{FF2B5EF4-FFF2-40B4-BE49-F238E27FC236}">
              <a16:creationId xmlns:a16="http://schemas.microsoft.com/office/drawing/2014/main" id="{6B0FC9AC-E301-449B-9A64-164C572849A3}"/>
            </a:ext>
          </a:extLst>
        </xdr:cNvPr>
        <xdr:cNvSpPr/>
      </xdr:nvSpPr>
      <xdr:spPr>
        <a:xfrm rot="10800000">
          <a:off x="192786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534</xdr:row>
      <xdr:rowOff>0</xdr:rowOff>
    </xdr:from>
    <xdr:to>
      <xdr:col>11</xdr:col>
      <xdr:colOff>83820</xdr:colOff>
      <xdr:row>534</xdr:row>
      <xdr:rowOff>114300</xdr:rowOff>
    </xdr:to>
    <xdr:sp macro="" textlink="">
      <xdr:nvSpPr>
        <xdr:cNvPr id="4027" name="Arrow: Down 4026">
          <a:extLst>
            <a:ext uri="{FF2B5EF4-FFF2-40B4-BE49-F238E27FC236}">
              <a16:creationId xmlns:a16="http://schemas.microsoft.com/office/drawing/2014/main" id="{98971697-C0B2-407E-990F-611BEBC9AAAB}"/>
            </a:ext>
          </a:extLst>
        </xdr:cNvPr>
        <xdr:cNvSpPr/>
      </xdr:nvSpPr>
      <xdr:spPr>
        <a:xfrm rot="10800000">
          <a:off x="36957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534</xdr:row>
      <xdr:rowOff>0</xdr:rowOff>
    </xdr:from>
    <xdr:to>
      <xdr:col>24</xdr:col>
      <xdr:colOff>83820</xdr:colOff>
      <xdr:row>534</xdr:row>
      <xdr:rowOff>114300</xdr:rowOff>
    </xdr:to>
    <xdr:sp macro="" textlink="">
      <xdr:nvSpPr>
        <xdr:cNvPr id="4028" name="Arrow: Down 4027">
          <a:extLst>
            <a:ext uri="{FF2B5EF4-FFF2-40B4-BE49-F238E27FC236}">
              <a16:creationId xmlns:a16="http://schemas.microsoft.com/office/drawing/2014/main" id="{C348FE3C-B0D7-4E11-A381-2292307CDEC0}"/>
            </a:ext>
          </a:extLst>
        </xdr:cNvPr>
        <xdr:cNvSpPr/>
      </xdr:nvSpPr>
      <xdr:spPr>
        <a:xfrm rot="10800000">
          <a:off x="83362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534</xdr:row>
      <xdr:rowOff>0</xdr:rowOff>
    </xdr:from>
    <xdr:to>
      <xdr:col>45</xdr:col>
      <xdr:colOff>83820</xdr:colOff>
      <xdr:row>534</xdr:row>
      <xdr:rowOff>114300</xdr:rowOff>
    </xdr:to>
    <xdr:sp macro="" textlink="">
      <xdr:nvSpPr>
        <xdr:cNvPr id="4029" name="Arrow: Down 4028">
          <a:extLst>
            <a:ext uri="{FF2B5EF4-FFF2-40B4-BE49-F238E27FC236}">
              <a16:creationId xmlns:a16="http://schemas.microsoft.com/office/drawing/2014/main" id="{F9DC8954-30F7-46EB-B67B-7D65A660301A}"/>
            </a:ext>
          </a:extLst>
        </xdr:cNvPr>
        <xdr:cNvSpPr/>
      </xdr:nvSpPr>
      <xdr:spPr>
        <a:xfrm>
          <a:off x="134035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534</xdr:row>
      <xdr:rowOff>0</xdr:rowOff>
    </xdr:from>
    <xdr:to>
      <xdr:col>39</xdr:col>
      <xdr:colOff>83820</xdr:colOff>
      <xdr:row>534</xdr:row>
      <xdr:rowOff>114300</xdr:rowOff>
    </xdr:to>
    <xdr:sp macro="" textlink="">
      <xdr:nvSpPr>
        <xdr:cNvPr id="4030" name="Arrow: Down 4029">
          <a:extLst>
            <a:ext uri="{FF2B5EF4-FFF2-40B4-BE49-F238E27FC236}">
              <a16:creationId xmlns:a16="http://schemas.microsoft.com/office/drawing/2014/main" id="{1308B787-8A8A-4B81-80F3-83B3CA0BDCC0}"/>
            </a:ext>
          </a:extLst>
        </xdr:cNvPr>
        <xdr:cNvSpPr/>
      </xdr:nvSpPr>
      <xdr:spPr>
        <a:xfrm rot="10800000">
          <a:off x="11544300" y="9757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533</xdr:row>
      <xdr:rowOff>0</xdr:rowOff>
    </xdr:from>
    <xdr:to>
      <xdr:col>39</xdr:col>
      <xdr:colOff>83820</xdr:colOff>
      <xdr:row>533</xdr:row>
      <xdr:rowOff>114300</xdr:rowOff>
    </xdr:to>
    <xdr:sp macro="" textlink="">
      <xdr:nvSpPr>
        <xdr:cNvPr id="4033" name="Arrow: Down 4032">
          <a:extLst>
            <a:ext uri="{FF2B5EF4-FFF2-40B4-BE49-F238E27FC236}">
              <a16:creationId xmlns:a16="http://schemas.microsoft.com/office/drawing/2014/main" id="{37103D83-97AD-4135-B034-184DD29B41A0}"/>
            </a:ext>
          </a:extLst>
        </xdr:cNvPr>
        <xdr:cNvSpPr/>
      </xdr:nvSpPr>
      <xdr:spPr>
        <a:xfrm>
          <a:off x="115443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533</xdr:row>
      <xdr:rowOff>0</xdr:rowOff>
    </xdr:from>
    <xdr:to>
      <xdr:col>71</xdr:col>
      <xdr:colOff>83820</xdr:colOff>
      <xdr:row>533</xdr:row>
      <xdr:rowOff>114300</xdr:rowOff>
    </xdr:to>
    <xdr:sp macro="" textlink="">
      <xdr:nvSpPr>
        <xdr:cNvPr id="4034" name="Arrow: Down 4033">
          <a:extLst>
            <a:ext uri="{FF2B5EF4-FFF2-40B4-BE49-F238E27FC236}">
              <a16:creationId xmlns:a16="http://schemas.microsoft.com/office/drawing/2014/main" id="{1B14DDAC-01CF-47B4-A808-9E93E454B198}"/>
            </a:ext>
          </a:extLst>
        </xdr:cNvPr>
        <xdr:cNvSpPr/>
      </xdr:nvSpPr>
      <xdr:spPr>
        <a:xfrm rot="10800000">
          <a:off x="216331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533</xdr:row>
      <xdr:rowOff>0</xdr:rowOff>
    </xdr:from>
    <xdr:to>
      <xdr:col>60</xdr:col>
      <xdr:colOff>83820</xdr:colOff>
      <xdr:row>533</xdr:row>
      <xdr:rowOff>114300</xdr:rowOff>
    </xdr:to>
    <xdr:sp macro="" textlink="">
      <xdr:nvSpPr>
        <xdr:cNvPr id="4035" name="Arrow: Down 4034">
          <a:extLst>
            <a:ext uri="{FF2B5EF4-FFF2-40B4-BE49-F238E27FC236}">
              <a16:creationId xmlns:a16="http://schemas.microsoft.com/office/drawing/2014/main" id="{C47BA366-DE7D-404C-8918-01B9F5826459}"/>
            </a:ext>
          </a:extLst>
        </xdr:cNvPr>
        <xdr:cNvSpPr/>
      </xdr:nvSpPr>
      <xdr:spPr>
        <a:xfrm rot="10800000">
          <a:off x="190804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534</xdr:row>
      <xdr:rowOff>0</xdr:rowOff>
    </xdr:from>
    <xdr:to>
      <xdr:col>71</xdr:col>
      <xdr:colOff>83820</xdr:colOff>
      <xdr:row>534</xdr:row>
      <xdr:rowOff>114300</xdr:rowOff>
    </xdr:to>
    <xdr:sp macro="" textlink="">
      <xdr:nvSpPr>
        <xdr:cNvPr id="4037" name="Arrow: Down 4036">
          <a:extLst>
            <a:ext uri="{FF2B5EF4-FFF2-40B4-BE49-F238E27FC236}">
              <a16:creationId xmlns:a16="http://schemas.microsoft.com/office/drawing/2014/main" id="{E6517290-C34F-4E84-AFD5-124D9D310377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534</xdr:row>
      <xdr:rowOff>0</xdr:rowOff>
    </xdr:from>
    <xdr:to>
      <xdr:col>60</xdr:col>
      <xdr:colOff>83820</xdr:colOff>
      <xdr:row>534</xdr:row>
      <xdr:rowOff>114300</xdr:rowOff>
    </xdr:to>
    <xdr:sp macro="" textlink="">
      <xdr:nvSpPr>
        <xdr:cNvPr id="4038" name="Arrow: Down 4037">
          <a:extLst>
            <a:ext uri="{FF2B5EF4-FFF2-40B4-BE49-F238E27FC236}">
              <a16:creationId xmlns:a16="http://schemas.microsoft.com/office/drawing/2014/main" id="{FF98F9AD-B1D1-44D1-AFD7-E0FA2DF3BB20}"/>
            </a:ext>
          </a:extLst>
        </xdr:cNvPr>
        <xdr:cNvSpPr/>
      </xdr:nvSpPr>
      <xdr:spPr>
        <a:xfrm rot="10800000">
          <a:off x="190804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535</xdr:row>
      <xdr:rowOff>0</xdr:rowOff>
    </xdr:from>
    <xdr:to>
      <xdr:col>71</xdr:col>
      <xdr:colOff>83820</xdr:colOff>
      <xdr:row>535</xdr:row>
      <xdr:rowOff>114300</xdr:rowOff>
    </xdr:to>
    <xdr:sp macro="" textlink="">
      <xdr:nvSpPr>
        <xdr:cNvPr id="4044" name="Arrow: Down 4043">
          <a:extLst>
            <a:ext uri="{FF2B5EF4-FFF2-40B4-BE49-F238E27FC236}">
              <a16:creationId xmlns:a16="http://schemas.microsoft.com/office/drawing/2014/main" id="{0677E246-6D6A-4B66-A976-25BB253022A3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535</xdr:row>
      <xdr:rowOff>0</xdr:rowOff>
    </xdr:from>
    <xdr:to>
      <xdr:col>60</xdr:col>
      <xdr:colOff>83820</xdr:colOff>
      <xdr:row>535</xdr:row>
      <xdr:rowOff>114300</xdr:rowOff>
    </xdr:to>
    <xdr:sp macro="" textlink="">
      <xdr:nvSpPr>
        <xdr:cNvPr id="4046" name="Arrow: Down 4045">
          <a:extLst>
            <a:ext uri="{FF2B5EF4-FFF2-40B4-BE49-F238E27FC236}">
              <a16:creationId xmlns:a16="http://schemas.microsoft.com/office/drawing/2014/main" id="{EBEB5855-06A5-4E7A-9FD6-5E89322314F8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535</xdr:row>
      <xdr:rowOff>0</xdr:rowOff>
    </xdr:from>
    <xdr:to>
      <xdr:col>45</xdr:col>
      <xdr:colOff>83820</xdr:colOff>
      <xdr:row>535</xdr:row>
      <xdr:rowOff>114300</xdr:rowOff>
    </xdr:to>
    <xdr:sp macro="" textlink="">
      <xdr:nvSpPr>
        <xdr:cNvPr id="4047" name="Arrow: Down 4046">
          <a:extLst>
            <a:ext uri="{FF2B5EF4-FFF2-40B4-BE49-F238E27FC236}">
              <a16:creationId xmlns:a16="http://schemas.microsoft.com/office/drawing/2014/main" id="{32B10246-A813-45E1-A6A6-7CAB133B44B7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535</xdr:row>
      <xdr:rowOff>0</xdr:rowOff>
    </xdr:from>
    <xdr:to>
      <xdr:col>39</xdr:col>
      <xdr:colOff>83820</xdr:colOff>
      <xdr:row>535</xdr:row>
      <xdr:rowOff>114300</xdr:rowOff>
    </xdr:to>
    <xdr:sp macro="" textlink="">
      <xdr:nvSpPr>
        <xdr:cNvPr id="4049" name="Arrow: Down 4048">
          <a:extLst>
            <a:ext uri="{FF2B5EF4-FFF2-40B4-BE49-F238E27FC236}">
              <a16:creationId xmlns:a16="http://schemas.microsoft.com/office/drawing/2014/main" id="{305D5874-DBBC-48D2-AFCB-4AAD758173B6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535</xdr:row>
      <xdr:rowOff>0</xdr:rowOff>
    </xdr:from>
    <xdr:to>
      <xdr:col>24</xdr:col>
      <xdr:colOff>83820</xdr:colOff>
      <xdr:row>535</xdr:row>
      <xdr:rowOff>114300</xdr:rowOff>
    </xdr:to>
    <xdr:sp macro="" textlink="">
      <xdr:nvSpPr>
        <xdr:cNvPr id="4051" name="Arrow: Down 4050">
          <a:extLst>
            <a:ext uri="{FF2B5EF4-FFF2-40B4-BE49-F238E27FC236}">
              <a16:creationId xmlns:a16="http://schemas.microsoft.com/office/drawing/2014/main" id="{245DCFD1-4E24-41F8-9B02-787EE214F896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535</xdr:row>
      <xdr:rowOff>0</xdr:rowOff>
    </xdr:from>
    <xdr:to>
      <xdr:col>11</xdr:col>
      <xdr:colOff>83820</xdr:colOff>
      <xdr:row>535</xdr:row>
      <xdr:rowOff>114300</xdr:rowOff>
    </xdr:to>
    <xdr:sp macro="" textlink="">
      <xdr:nvSpPr>
        <xdr:cNvPr id="4052" name="Arrow: Down 4051">
          <a:extLst>
            <a:ext uri="{FF2B5EF4-FFF2-40B4-BE49-F238E27FC236}">
              <a16:creationId xmlns:a16="http://schemas.microsoft.com/office/drawing/2014/main" id="{DDAA9F29-EC59-48E2-BF13-98BAF507F199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535</xdr:row>
      <xdr:rowOff>0</xdr:rowOff>
    </xdr:from>
    <xdr:to>
      <xdr:col>5</xdr:col>
      <xdr:colOff>83820</xdr:colOff>
      <xdr:row>535</xdr:row>
      <xdr:rowOff>114300</xdr:rowOff>
    </xdr:to>
    <xdr:sp macro="" textlink="">
      <xdr:nvSpPr>
        <xdr:cNvPr id="4053" name="Arrow: Down 4052">
          <a:extLst>
            <a:ext uri="{FF2B5EF4-FFF2-40B4-BE49-F238E27FC236}">
              <a16:creationId xmlns:a16="http://schemas.microsoft.com/office/drawing/2014/main" id="{10F41A2C-0E23-47EF-BD92-2035333ADB70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536</xdr:row>
      <xdr:rowOff>0</xdr:rowOff>
    </xdr:from>
    <xdr:to>
      <xdr:col>60</xdr:col>
      <xdr:colOff>83820</xdr:colOff>
      <xdr:row>536</xdr:row>
      <xdr:rowOff>114300</xdr:rowOff>
    </xdr:to>
    <xdr:sp macro="" textlink="">
      <xdr:nvSpPr>
        <xdr:cNvPr id="4055" name="Arrow: Down 4054">
          <a:extLst>
            <a:ext uri="{FF2B5EF4-FFF2-40B4-BE49-F238E27FC236}">
              <a16:creationId xmlns:a16="http://schemas.microsoft.com/office/drawing/2014/main" id="{CD897546-1FEC-466C-8C90-E41DDE982A8E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536</xdr:row>
      <xdr:rowOff>0</xdr:rowOff>
    </xdr:from>
    <xdr:to>
      <xdr:col>45</xdr:col>
      <xdr:colOff>83820</xdr:colOff>
      <xdr:row>536</xdr:row>
      <xdr:rowOff>114300</xdr:rowOff>
    </xdr:to>
    <xdr:sp macro="" textlink="">
      <xdr:nvSpPr>
        <xdr:cNvPr id="4056" name="Arrow: Down 4055">
          <a:extLst>
            <a:ext uri="{FF2B5EF4-FFF2-40B4-BE49-F238E27FC236}">
              <a16:creationId xmlns:a16="http://schemas.microsoft.com/office/drawing/2014/main" id="{EE6AD4FA-E140-43AE-9CC4-8BADAC63E658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536</xdr:row>
      <xdr:rowOff>0</xdr:rowOff>
    </xdr:from>
    <xdr:to>
      <xdr:col>39</xdr:col>
      <xdr:colOff>83820</xdr:colOff>
      <xdr:row>536</xdr:row>
      <xdr:rowOff>114300</xdr:rowOff>
    </xdr:to>
    <xdr:sp macro="" textlink="">
      <xdr:nvSpPr>
        <xdr:cNvPr id="4057" name="Arrow: Down 4056">
          <a:extLst>
            <a:ext uri="{FF2B5EF4-FFF2-40B4-BE49-F238E27FC236}">
              <a16:creationId xmlns:a16="http://schemas.microsoft.com/office/drawing/2014/main" id="{172F1618-89E2-4524-86BF-AD999EB6237F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536</xdr:row>
      <xdr:rowOff>0</xdr:rowOff>
    </xdr:from>
    <xdr:to>
      <xdr:col>24</xdr:col>
      <xdr:colOff>83820</xdr:colOff>
      <xdr:row>536</xdr:row>
      <xdr:rowOff>114300</xdr:rowOff>
    </xdr:to>
    <xdr:sp macro="" textlink="">
      <xdr:nvSpPr>
        <xdr:cNvPr id="4058" name="Arrow: Down 4057">
          <a:extLst>
            <a:ext uri="{FF2B5EF4-FFF2-40B4-BE49-F238E27FC236}">
              <a16:creationId xmlns:a16="http://schemas.microsoft.com/office/drawing/2014/main" id="{43080B8B-ED91-4A94-AC8E-E1B11233D572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536</xdr:row>
      <xdr:rowOff>0</xdr:rowOff>
    </xdr:from>
    <xdr:to>
      <xdr:col>11</xdr:col>
      <xdr:colOff>83820</xdr:colOff>
      <xdr:row>536</xdr:row>
      <xdr:rowOff>114300</xdr:rowOff>
    </xdr:to>
    <xdr:sp macro="" textlink="">
      <xdr:nvSpPr>
        <xdr:cNvPr id="4059" name="Arrow: Down 4058">
          <a:extLst>
            <a:ext uri="{FF2B5EF4-FFF2-40B4-BE49-F238E27FC236}">
              <a16:creationId xmlns:a16="http://schemas.microsoft.com/office/drawing/2014/main" id="{FDD901C4-75D6-4C60-8223-B8A325BC9DB0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536</xdr:row>
      <xdr:rowOff>0</xdr:rowOff>
    </xdr:from>
    <xdr:to>
      <xdr:col>5</xdr:col>
      <xdr:colOff>83820</xdr:colOff>
      <xdr:row>536</xdr:row>
      <xdr:rowOff>114300</xdr:rowOff>
    </xdr:to>
    <xdr:sp macro="" textlink="">
      <xdr:nvSpPr>
        <xdr:cNvPr id="4060" name="Arrow: Down 4059">
          <a:extLst>
            <a:ext uri="{FF2B5EF4-FFF2-40B4-BE49-F238E27FC236}">
              <a16:creationId xmlns:a16="http://schemas.microsoft.com/office/drawing/2014/main" id="{FFD5656E-992C-48C5-B746-53958C488EAF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536</xdr:row>
      <xdr:rowOff>0</xdr:rowOff>
    </xdr:from>
    <xdr:to>
      <xdr:col>71</xdr:col>
      <xdr:colOff>83820</xdr:colOff>
      <xdr:row>536</xdr:row>
      <xdr:rowOff>114300</xdr:rowOff>
    </xdr:to>
    <xdr:sp macro="" textlink="">
      <xdr:nvSpPr>
        <xdr:cNvPr id="4061" name="Arrow: Down 4060">
          <a:extLst>
            <a:ext uri="{FF2B5EF4-FFF2-40B4-BE49-F238E27FC236}">
              <a16:creationId xmlns:a16="http://schemas.microsoft.com/office/drawing/2014/main" id="{EC60CC19-2AD7-4E84-8A3A-D15A5840337A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537</xdr:row>
      <xdr:rowOff>0</xdr:rowOff>
    </xdr:from>
    <xdr:to>
      <xdr:col>60</xdr:col>
      <xdr:colOff>83820</xdr:colOff>
      <xdr:row>537</xdr:row>
      <xdr:rowOff>114300</xdr:rowOff>
    </xdr:to>
    <xdr:sp macro="" textlink="">
      <xdr:nvSpPr>
        <xdr:cNvPr id="4062" name="Arrow: Down 4061">
          <a:extLst>
            <a:ext uri="{FF2B5EF4-FFF2-40B4-BE49-F238E27FC236}">
              <a16:creationId xmlns:a16="http://schemas.microsoft.com/office/drawing/2014/main" id="{47FD585D-3CA3-444D-A36F-4BB3768A8331}"/>
            </a:ext>
          </a:extLst>
        </xdr:cNvPr>
        <xdr:cNvSpPr/>
      </xdr:nvSpPr>
      <xdr:spPr>
        <a:xfrm>
          <a:off x="190804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537</xdr:row>
      <xdr:rowOff>0</xdr:rowOff>
    </xdr:from>
    <xdr:to>
      <xdr:col>45</xdr:col>
      <xdr:colOff>83820</xdr:colOff>
      <xdr:row>537</xdr:row>
      <xdr:rowOff>114300</xdr:rowOff>
    </xdr:to>
    <xdr:sp macro="" textlink="">
      <xdr:nvSpPr>
        <xdr:cNvPr id="4063" name="Arrow: Down 4062">
          <a:extLst>
            <a:ext uri="{FF2B5EF4-FFF2-40B4-BE49-F238E27FC236}">
              <a16:creationId xmlns:a16="http://schemas.microsoft.com/office/drawing/2014/main" id="{F7BA9798-E980-42EB-8F11-CFB65E46C0F5}"/>
            </a:ext>
          </a:extLst>
        </xdr:cNvPr>
        <xdr:cNvSpPr/>
      </xdr:nvSpPr>
      <xdr:spPr>
        <a:xfrm rot="10800000">
          <a:off x="134035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537</xdr:row>
      <xdr:rowOff>0</xdr:rowOff>
    </xdr:from>
    <xdr:to>
      <xdr:col>71</xdr:col>
      <xdr:colOff>83820</xdr:colOff>
      <xdr:row>537</xdr:row>
      <xdr:rowOff>114300</xdr:rowOff>
    </xdr:to>
    <xdr:sp macro="" textlink="">
      <xdr:nvSpPr>
        <xdr:cNvPr id="4068" name="Arrow: Down 4067">
          <a:extLst>
            <a:ext uri="{FF2B5EF4-FFF2-40B4-BE49-F238E27FC236}">
              <a16:creationId xmlns:a16="http://schemas.microsoft.com/office/drawing/2014/main" id="{B17C1055-0372-4F95-8848-932B783432F9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537</xdr:row>
      <xdr:rowOff>0</xdr:rowOff>
    </xdr:from>
    <xdr:to>
      <xdr:col>5</xdr:col>
      <xdr:colOff>83820</xdr:colOff>
      <xdr:row>537</xdr:row>
      <xdr:rowOff>114300</xdr:rowOff>
    </xdr:to>
    <xdr:sp macro="" textlink="">
      <xdr:nvSpPr>
        <xdr:cNvPr id="4069" name="Arrow: Down 4068">
          <a:extLst>
            <a:ext uri="{FF2B5EF4-FFF2-40B4-BE49-F238E27FC236}">
              <a16:creationId xmlns:a16="http://schemas.microsoft.com/office/drawing/2014/main" id="{A54D4683-948E-47E6-ABB6-C8C1E1DBCDA6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537</xdr:row>
      <xdr:rowOff>0</xdr:rowOff>
    </xdr:from>
    <xdr:to>
      <xdr:col>11</xdr:col>
      <xdr:colOff>83820</xdr:colOff>
      <xdr:row>537</xdr:row>
      <xdr:rowOff>114300</xdr:rowOff>
    </xdr:to>
    <xdr:sp macro="" textlink="">
      <xdr:nvSpPr>
        <xdr:cNvPr id="4070" name="Arrow: Down 4069">
          <a:extLst>
            <a:ext uri="{FF2B5EF4-FFF2-40B4-BE49-F238E27FC236}">
              <a16:creationId xmlns:a16="http://schemas.microsoft.com/office/drawing/2014/main" id="{104BC855-2F10-4D8F-A66A-C28C10943228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537</xdr:row>
      <xdr:rowOff>0</xdr:rowOff>
    </xdr:from>
    <xdr:to>
      <xdr:col>24</xdr:col>
      <xdr:colOff>83820</xdr:colOff>
      <xdr:row>537</xdr:row>
      <xdr:rowOff>114300</xdr:rowOff>
    </xdr:to>
    <xdr:sp macro="" textlink="">
      <xdr:nvSpPr>
        <xdr:cNvPr id="4071" name="Arrow: Down 4070">
          <a:extLst>
            <a:ext uri="{FF2B5EF4-FFF2-40B4-BE49-F238E27FC236}">
              <a16:creationId xmlns:a16="http://schemas.microsoft.com/office/drawing/2014/main" id="{2BE8186F-53FD-420B-88CC-4F7FE8E7BBAE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538</xdr:row>
      <xdr:rowOff>0</xdr:rowOff>
    </xdr:from>
    <xdr:to>
      <xdr:col>45</xdr:col>
      <xdr:colOff>83820</xdr:colOff>
      <xdr:row>538</xdr:row>
      <xdr:rowOff>114300</xdr:rowOff>
    </xdr:to>
    <xdr:sp macro="" textlink="">
      <xdr:nvSpPr>
        <xdr:cNvPr id="4073" name="Arrow: Down 4072">
          <a:extLst>
            <a:ext uri="{FF2B5EF4-FFF2-40B4-BE49-F238E27FC236}">
              <a16:creationId xmlns:a16="http://schemas.microsoft.com/office/drawing/2014/main" id="{EE46CA86-C49C-4BCB-8E14-D68EAA35B549}"/>
            </a:ext>
          </a:extLst>
        </xdr:cNvPr>
        <xdr:cNvSpPr/>
      </xdr:nvSpPr>
      <xdr:spPr>
        <a:xfrm rot="10800000">
          <a:off x="1340358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538</xdr:row>
      <xdr:rowOff>0</xdr:rowOff>
    </xdr:from>
    <xdr:to>
      <xdr:col>5</xdr:col>
      <xdr:colOff>83820</xdr:colOff>
      <xdr:row>538</xdr:row>
      <xdr:rowOff>114300</xdr:rowOff>
    </xdr:to>
    <xdr:sp macro="" textlink="">
      <xdr:nvSpPr>
        <xdr:cNvPr id="4075" name="Arrow: Down 4074">
          <a:extLst>
            <a:ext uri="{FF2B5EF4-FFF2-40B4-BE49-F238E27FC236}">
              <a16:creationId xmlns:a16="http://schemas.microsoft.com/office/drawing/2014/main" id="{9F965364-B243-4EFA-B14A-9E9B28D185EB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538</xdr:row>
      <xdr:rowOff>0</xdr:rowOff>
    </xdr:from>
    <xdr:to>
      <xdr:col>11</xdr:col>
      <xdr:colOff>83820</xdr:colOff>
      <xdr:row>538</xdr:row>
      <xdr:rowOff>114300</xdr:rowOff>
    </xdr:to>
    <xdr:sp macro="" textlink="">
      <xdr:nvSpPr>
        <xdr:cNvPr id="4076" name="Arrow: Down 4075">
          <a:extLst>
            <a:ext uri="{FF2B5EF4-FFF2-40B4-BE49-F238E27FC236}">
              <a16:creationId xmlns:a16="http://schemas.microsoft.com/office/drawing/2014/main" id="{EE8AC16D-CA6F-460A-8B08-964311C2BEB9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538</xdr:row>
      <xdr:rowOff>0</xdr:rowOff>
    </xdr:from>
    <xdr:to>
      <xdr:col>24</xdr:col>
      <xdr:colOff>83820</xdr:colOff>
      <xdr:row>538</xdr:row>
      <xdr:rowOff>114300</xdr:rowOff>
    </xdr:to>
    <xdr:sp macro="" textlink="">
      <xdr:nvSpPr>
        <xdr:cNvPr id="4077" name="Arrow: Down 4076">
          <a:extLst>
            <a:ext uri="{FF2B5EF4-FFF2-40B4-BE49-F238E27FC236}">
              <a16:creationId xmlns:a16="http://schemas.microsoft.com/office/drawing/2014/main" id="{FFF7AC87-206C-4AC5-BC81-19C660A17146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538</xdr:row>
      <xdr:rowOff>0</xdr:rowOff>
    </xdr:from>
    <xdr:to>
      <xdr:col>39</xdr:col>
      <xdr:colOff>83820</xdr:colOff>
      <xdr:row>538</xdr:row>
      <xdr:rowOff>114300</xdr:rowOff>
    </xdr:to>
    <xdr:sp macro="" textlink="">
      <xdr:nvSpPr>
        <xdr:cNvPr id="4078" name="Arrow: Down 4077">
          <a:extLst>
            <a:ext uri="{FF2B5EF4-FFF2-40B4-BE49-F238E27FC236}">
              <a16:creationId xmlns:a16="http://schemas.microsoft.com/office/drawing/2014/main" id="{A2092530-7290-4782-A066-9612897636F9}"/>
            </a:ext>
          </a:extLst>
        </xdr:cNvPr>
        <xdr:cNvSpPr/>
      </xdr:nvSpPr>
      <xdr:spPr>
        <a:xfrm>
          <a:off x="115443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537</xdr:row>
      <xdr:rowOff>0</xdr:rowOff>
    </xdr:from>
    <xdr:to>
      <xdr:col>39</xdr:col>
      <xdr:colOff>83820</xdr:colOff>
      <xdr:row>537</xdr:row>
      <xdr:rowOff>114300</xdr:rowOff>
    </xdr:to>
    <xdr:sp macro="" textlink="">
      <xdr:nvSpPr>
        <xdr:cNvPr id="4080" name="Arrow: Down 4079">
          <a:extLst>
            <a:ext uri="{FF2B5EF4-FFF2-40B4-BE49-F238E27FC236}">
              <a16:creationId xmlns:a16="http://schemas.microsoft.com/office/drawing/2014/main" id="{85BE6C96-53D5-4CDD-9353-4B0301A2245A}"/>
            </a:ext>
          </a:extLst>
        </xdr:cNvPr>
        <xdr:cNvSpPr/>
      </xdr:nvSpPr>
      <xdr:spPr>
        <a:xfrm rot="10800000">
          <a:off x="1154430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538</xdr:row>
      <xdr:rowOff>0</xdr:rowOff>
    </xdr:from>
    <xdr:to>
      <xdr:col>71</xdr:col>
      <xdr:colOff>83820</xdr:colOff>
      <xdr:row>538</xdr:row>
      <xdr:rowOff>114300</xdr:rowOff>
    </xdr:to>
    <xdr:sp macro="" textlink="">
      <xdr:nvSpPr>
        <xdr:cNvPr id="4081" name="Arrow: Down 4080">
          <a:extLst>
            <a:ext uri="{FF2B5EF4-FFF2-40B4-BE49-F238E27FC236}">
              <a16:creationId xmlns:a16="http://schemas.microsoft.com/office/drawing/2014/main" id="{D1F3001D-E0D2-4551-B516-7766EC45E58C}"/>
            </a:ext>
          </a:extLst>
        </xdr:cNvPr>
        <xdr:cNvSpPr/>
      </xdr:nvSpPr>
      <xdr:spPr>
        <a:xfrm rot="10800000">
          <a:off x="216331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538</xdr:row>
      <xdr:rowOff>0</xdr:rowOff>
    </xdr:from>
    <xdr:to>
      <xdr:col>60</xdr:col>
      <xdr:colOff>83820</xdr:colOff>
      <xdr:row>538</xdr:row>
      <xdr:rowOff>114300</xdr:rowOff>
    </xdr:to>
    <xdr:sp macro="" textlink="">
      <xdr:nvSpPr>
        <xdr:cNvPr id="4082" name="Arrow: Down 4081">
          <a:extLst>
            <a:ext uri="{FF2B5EF4-FFF2-40B4-BE49-F238E27FC236}">
              <a16:creationId xmlns:a16="http://schemas.microsoft.com/office/drawing/2014/main" id="{E1264B0C-80F6-4299-A2AA-1BF9D114C98C}"/>
            </a:ext>
          </a:extLst>
        </xdr:cNvPr>
        <xdr:cNvSpPr/>
      </xdr:nvSpPr>
      <xdr:spPr>
        <a:xfrm rot="10800000">
          <a:off x="190804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539</xdr:row>
      <xdr:rowOff>0</xdr:rowOff>
    </xdr:from>
    <xdr:to>
      <xdr:col>45</xdr:col>
      <xdr:colOff>83820</xdr:colOff>
      <xdr:row>539</xdr:row>
      <xdr:rowOff>114300</xdr:rowOff>
    </xdr:to>
    <xdr:sp macro="" textlink="">
      <xdr:nvSpPr>
        <xdr:cNvPr id="4083" name="Arrow: Down 4082">
          <a:extLst>
            <a:ext uri="{FF2B5EF4-FFF2-40B4-BE49-F238E27FC236}">
              <a16:creationId xmlns:a16="http://schemas.microsoft.com/office/drawing/2014/main" id="{9A4C7013-1925-43AA-81A0-9967BB8F371C}"/>
            </a:ext>
          </a:extLst>
        </xdr:cNvPr>
        <xdr:cNvSpPr/>
      </xdr:nvSpPr>
      <xdr:spPr>
        <a:xfrm rot="10800000">
          <a:off x="13403580" y="9848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539</xdr:row>
      <xdr:rowOff>0</xdr:rowOff>
    </xdr:from>
    <xdr:to>
      <xdr:col>5</xdr:col>
      <xdr:colOff>83820</xdr:colOff>
      <xdr:row>539</xdr:row>
      <xdr:rowOff>114300</xdr:rowOff>
    </xdr:to>
    <xdr:sp macro="" textlink="">
      <xdr:nvSpPr>
        <xdr:cNvPr id="4084" name="Arrow: Down 4083">
          <a:extLst>
            <a:ext uri="{FF2B5EF4-FFF2-40B4-BE49-F238E27FC236}">
              <a16:creationId xmlns:a16="http://schemas.microsoft.com/office/drawing/2014/main" id="{C6BCF584-6AC6-4CC8-A400-5A5A4A1C5A7E}"/>
            </a:ext>
          </a:extLst>
        </xdr:cNvPr>
        <xdr:cNvSpPr/>
      </xdr:nvSpPr>
      <xdr:spPr>
        <a:xfrm rot="10800000">
          <a:off x="192786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539</xdr:row>
      <xdr:rowOff>0</xdr:rowOff>
    </xdr:from>
    <xdr:to>
      <xdr:col>11</xdr:col>
      <xdr:colOff>83820</xdr:colOff>
      <xdr:row>539</xdr:row>
      <xdr:rowOff>114300</xdr:rowOff>
    </xdr:to>
    <xdr:sp macro="" textlink="">
      <xdr:nvSpPr>
        <xdr:cNvPr id="4085" name="Arrow: Down 4084">
          <a:extLst>
            <a:ext uri="{FF2B5EF4-FFF2-40B4-BE49-F238E27FC236}">
              <a16:creationId xmlns:a16="http://schemas.microsoft.com/office/drawing/2014/main" id="{1E7A4308-D072-41FF-BAF6-5787585D724B}"/>
            </a:ext>
          </a:extLst>
        </xdr:cNvPr>
        <xdr:cNvSpPr/>
      </xdr:nvSpPr>
      <xdr:spPr>
        <a:xfrm rot="10800000">
          <a:off x="36957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539</xdr:row>
      <xdr:rowOff>0</xdr:rowOff>
    </xdr:from>
    <xdr:to>
      <xdr:col>24</xdr:col>
      <xdr:colOff>83820</xdr:colOff>
      <xdr:row>539</xdr:row>
      <xdr:rowOff>114300</xdr:rowOff>
    </xdr:to>
    <xdr:sp macro="" textlink="">
      <xdr:nvSpPr>
        <xdr:cNvPr id="4086" name="Arrow: Down 4085">
          <a:extLst>
            <a:ext uri="{FF2B5EF4-FFF2-40B4-BE49-F238E27FC236}">
              <a16:creationId xmlns:a16="http://schemas.microsoft.com/office/drawing/2014/main" id="{93AE8F53-F326-4C61-AB9C-85FF64DF3B23}"/>
            </a:ext>
          </a:extLst>
        </xdr:cNvPr>
        <xdr:cNvSpPr/>
      </xdr:nvSpPr>
      <xdr:spPr>
        <a:xfrm rot="10800000">
          <a:off x="83362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539</xdr:row>
      <xdr:rowOff>0</xdr:rowOff>
    </xdr:from>
    <xdr:to>
      <xdr:col>39</xdr:col>
      <xdr:colOff>83820</xdr:colOff>
      <xdr:row>539</xdr:row>
      <xdr:rowOff>114300</xdr:rowOff>
    </xdr:to>
    <xdr:sp macro="" textlink="">
      <xdr:nvSpPr>
        <xdr:cNvPr id="4090" name="Arrow: Down 4089">
          <a:extLst>
            <a:ext uri="{FF2B5EF4-FFF2-40B4-BE49-F238E27FC236}">
              <a16:creationId xmlns:a16="http://schemas.microsoft.com/office/drawing/2014/main" id="{C0FA507B-6C72-4BEF-B769-D59A71100932}"/>
            </a:ext>
          </a:extLst>
        </xdr:cNvPr>
        <xdr:cNvSpPr/>
      </xdr:nvSpPr>
      <xdr:spPr>
        <a:xfrm rot="10800000">
          <a:off x="1154430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539</xdr:row>
      <xdr:rowOff>0</xdr:rowOff>
    </xdr:from>
    <xdr:to>
      <xdr:col>60</xdr:col>
      <xdr:colOff>83820</xdr:colOff>
      <xdr:row>539</xdr:row>
      <xdr:rowOff>114300</xdr:rowOff>
    </xdr:to>
    <xdr:sp macro="" textlink="">
      <xdr:nvSpPr>
        <xdr:cNvPr id="4091" name="Arrow: Down 4090">
          <a:extLst>
            <a:ext uri="{FF2B5EF4-FFF2-40B4-BE49-F238E27FC236}">
              <a16:creationId xmlns:a16="http://schemas.microsoft.com/office/drawing/2014/main" id="{D0CE50B6-7457-4E11-A29C-CD1707ABBF3F}"/>
            </a:ext>
          </a:extLst>
        </xdr:cNvPr>
        <xdr:cNvSpPr/>
      </xdr:nvSpPr>
      <xdr:spPr>
        <a:xfrm>
          <a:off x="190804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539</xdr:row>
      <xdr:rowOff>0</xdr:rowOff>
    </xdr:from>
    <xdr:to>
      <xdr:col>71</xdr:col>
      <xdr:colOff>83820</xdr:colOff>
      <xdr:row>539</xdr:row>
      <xdr:rowOff>114300</xdr:rowOff>
    </xdr:to>
    <xdr:sp macro="" textlink="">
      <xdr:nvSpPr>
        <xdr:cNvPr id="4092" name="Arrow: Down 4091">
          <a:extLst>
            <a:ext uri="{FF2B5EF4-FFF2-40B4-BE49-F238E27FC236}">
              <a16:creationId xmlns:a16="http://schemas.microsoft.com/office/drawing/2014/main" id="{14CA6548-378D-495C-B0D5-79C3FC042EC0}"/>
            </a:ext>
          </a:extLst>
        </xdr:cNvPr>
        <xdr:cNvSpPr/>
      </xdr:nvSpPr>
      <xdr:spPr>
        <a:xfrm>
          <a:off x="216331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540</xdr:row>
      <xdr:rowOff>0</xdr:rowOff>
    </xdr:from>
    <xdr:to>
      <xdr:col>24</xdr:col>
      <xdr:colOff>83820</xdr:colOff>
      <xdr:row>540</xdr:row>
      <xdr:rowOff>114300</xdr:rowOff>
    </xdr:to>
    <xdr:sp macro="" textlink="">
      <xdr:nvSpPr>
        <xdr:cNvPr id="4096" name="Arrow: Down 4095">
          <a:extLst>
            <a:ext uri="{FF2B5EF4-FFF2-40B4-BE49-F238E27FC236}">
              <a16:creationId xmlns:a16="http://schemas.microsoft.com/office/drawing/2014/main" id="{D1F88980-E78F-4F94-80C1-8BE63D326729}"/>
            </a:ext>
          </a:extLst>
        </xdr:cNvPr>
        <xdr:cNvSpPr/>
      </xdr:nvSpPr>
      <xdr:spPr>
        <a:xfrm rot="10800000">
          <a:off x="8336280" y="9867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540</xdr:row>
      <xdr:rowOff>0</xdr:rowOff>
    </xdr:from>
    <xdr:to>
      <xdr:col>71</xdr:col>
      <xdr:colOff>83820</xdr:colOff>
      <xdr:row>540</xdr:row>
      <xdr:rowOff>114300</xdr:rowOff>
    </xdr:to>
    <xdr:sp macro="" textlink="">
      <xdr:nvSpPr>
        <xdr:cNvPr id="4100" name="Arrow: Down 4099">
          <a:extLst>
            <a:ext uri="{FF2B5EF4-FFF2-40B4-BE49-F238E27FC236}">
              <a16:creationId xmlns:a16="http://schemas.microsoft.com/office/drawing/2014/main" id="{17838529-454E-4520-A5F4-226F73A47508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540</xdr:row>
      <xdr:rowOff>0</xdr:rowOff>
    </xdr:from>
    <xdr:to>
      <xdr:col>60</xdr:col>
      <xdr:colOff>83820</xdr:colOff>
      <xdr:row>540</xdr:row>
      <xdr:rowOff>114300</xdr:rowOff>
    </xdr:to>
    <xdr:sp macro="" textlink="">
      <xdr:nvSpPr>
        <xdr:cNvPr id="4102" name="Arrow: Down 4101">
          <a:extLst>
            <a:ext uri="{FF2B5EF4-FFF2-40B4-BE49-F238E27FC236}">
              <a16:creationId xmlns:a16="http://schemas.microsoft.com/office/drawing/2014/main" id="{FD99E8D2-E788-4418-A3BE-598325CED6E2}"/>
            </a:ext>
          </a:extLst>
        </xdr:cNvPr>
        <xdr:cNvSpPr/>
      </xdr:nvSpPr>
      <xdr:spPr>
        <a:xfrm rot="10800000">
          <a:off x="190804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540</xdr:row>
      <xdr:rowOff>0</xdr:rowOff>
    </xdr:from>
    <xdr:to>
      <xdr:col>45</xdr:col>
      <xdr:colOff>83820</xdr:colOff>
      <xdr:row>540</xdr:row>
      <xdr:rowOff>114300</xdr:rowOff>
    </xdr:to>
    <xdr:sp macro="" textlink="">
      <xdr:nvSpPr>
        <xdr:cNvPr id="4103" name="Arrow: Down 4102">
          <a:extLst>
            <a:ext uri="{FF2B5EF4-FFF2-40B4-BE49-F238E27FC236}">
              <a16:creationId xmlns:a16="http://schemas.microsoft.com/office/drawing/2014/main" id="{16EE1EDD-BF0F-418C-8BFD-08CFC096A1ED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540</xdr:row>
      <xdr:rowOff>0</xdr:rowOff>
    </xdr:from>
    <xdr:to>
      <xdr:col>39</xdr:col>
      <xdr:colOff>83820</xdr:colOff>
      <xdr:row>540</xdr:row>
      <xdr:rowOff>114300</xdr:rowOff>
    </xdr:to>
    <xdr:sp macro="" textlink="">
      <xdr:nvSpPr>
        <xdr:cNvPr id="4104" name="Arrow: Down 4103">
          <a:extLst>
            <a:ext uri="{FF2B5EF4-FFF2-40B4-BE49-F238E27FC236}">
              <a16:creationId xmlns:a16="http://schemas.microsoft.com/office/drawing/2014/main" id="{9D2E7FEC-5EAA-4681-83F8-740C9C46C4FE}"/>
            </a:ext>
          </a:extLst>
        </xdr:cNvPr>
        <xdr:cNvSpPr/>
      </xdr:nvSpPr>
      <xdr:spPr>
        <a:xfrm>
          <a:off x="1154430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540</xdr:row>
      <xdr:rowOff>0</xdr:rowOff>
    </xdr:from>
    <xdr:to>
      <xdr:col>11</xdr:col>
      <xdr:colOff>83820</xdr:colOff>
      <xdr:row>540</xdr:row>
      <xdr:rowOff>114300</xdr:rowOff>
    </xdr:to>
    <xdr:sp macro="" textlink="">
      <xdr:nvSpPr>
        <xdr:cNvPr id="4106" name="Arrow: Down 4105">
          <a:extLst>
            <a:ext uri="{FF2B5EF4-FFF2-40B4-BE49-F238E27FC236}">
              <a16:creationId xmlns:a16="http://schemas.microsoft.com/office/drawing/2014/main" id="{FE41BDB6-04EA-47B3-96A9-3ED74F0FCAA0}"/>
            </a:ext>
          </a:extLst>
        </xdr:cNvPr>
        <xdr:cNvSpPr/>
      </xdr:nvSpPr>
      <xdr:spPr>
        <a:xfrm>
          <a:off x="369570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540</xdr:row>
      <xdr:rowOff>0</xdr:rowOff>
    </xdr:from>
    <xdr:to>
      <xdr:col>5</xdr:col>
      <xdr:colOff>83820</xdr:colOff>
      <xdr:row>540</xdr:row>
      <xdr:rowOff>114300</xdr:rowOff>
    </xdr:to>
    <xdr:sp macro="" textlink="">
      <xdr:nvSpPr>
        <xdr:cNvPr id="4108" name="Arrow: Down 4107">
          <a:extLst>
            <a:ext uri="{FF2B5EF4-FFF2-40B4-BE49-F238E27FC236}">
              <a16:creationId xmlns:a16="http://schemas.microsoft.com/office/drawing/2014/main" id="{1F65DF5A-37A9-4578-A55B-CFC1853B8B54}"/>
            </a:ext>
          </a:extLst>
        </xdr:cNvPr>
        <xdr:cNvSpPr/>
      </xdr:nvSpPr>
      <xdr:spPr>
        <a:xfrm>
          <a:off x="192786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541</xdr:row>
      <xdr:rowOff>0</xdr:rowOff>
    </xdr:from>
    <xdr:to>
      <xdr:col>71</xdr:col>
      <xdr:colOff>83820</xdr:colOff>
      <xdr:row>541</xdr:row>
      <xdr:rowOff>114300</xdr:rowOff>
    </xdr:to>
    <xdr:sp macro="" textlink="">
      <xdr:nvSpPr>
        <xdr:cNvPr id="4117" name="Arrow: Down 4116">
          <a:extLst>
            <a:ext uri="{FF2B5EF4-FFF2-40B4-BE49-F238E27FC236}">
              <a16:creationId xmlns:a16="http://schemas.microsoft.com/office/drawing/2014/main" id="{90DBE1B8-CB4C-45E0-8F10-4F5FC2B2F842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541</xdr:row>
      <xdr:rowOff>0</xdr:rowOff>
    </xdr:from>
    <xdr:to>
      <xdr:col>45</xdr:col>
      <xdr:colOff>83820</xdr:colOff>
      <xdr:row>541</xdr:row>
      <xdr:rowOff>114300</xdr:rowOff>
    </xdr:to>
    <xdr:sp macro="" textlink="">
      <xdr:nvSpPr>
        <xdr:cNvPr id="4119" name="Arrow: Down 4118">
          <a:extLst>
            <a:ext uri="{FF2B5EF4-FFF2-40B4-BE49-F238E27FC236}">
              <a16:creationId xmlns:a16="http://schemas.microsoft.com/office/drawing/2014/main" id="{6E79A4B8-3243-4D31-8F97-2DD44508B6B9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541</xdr:row>
      <xdr:rowOff>0</xdr:rowOff>
    </xdr:from>
    <xdr:to>
      <xdr:col>5</xdr:col>
      <xdr:colOff>83820</xdr:colOff>
      <xdr:row>541</xdr:row>
      <xdr:rowOff>114300</xdr:rowOff>
    </xdr:to>
    <xdr:sp macro="" textlink="">
      <xdr:nvSpPr>
        <xdr:cNvPr id="4123" name="Arrow: Down 4122">
          <a:extLst>
            <a:ext uri="{FF2B5EF4-FFF2-40B4-BE49-F238E27FC236}">
              <a16:creationId xmlns:a16="http://schemas.microsoft.com/office/drawing/2014/main" id="{E5D699C3-659A-4837-8453-6348E9FCE536}"/>
            </a:ext>
          </a:extLst>
        </xdr:cNvPr>
        <xdr:cNvSpPr/>
      </xdr:nvSpPr>
      <xdr:spPr>
        <a:xfrm rot="10800000">
          <a:off x="192786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541</xdr:row>
      <xdr:rowOff>0</xdr:rowOff>
    </xdr:from>
    <xdr:to>
      <xdr:col>11</xdr:col>
      <xdr:colOff>83820</xdr:colOff>
      <xdr:row>541</xdr:row>
      <xdr:rowOff>114300</xdr:rowOff>
    </xdr:to>
    <xdr:sp macro="" textlink="">
      <xdr:nvSpPr>
        <xdr:cNvPr id="4125" name="Arrow: Down 4124">
          <a:extLst>
            <a:ext uri="{FF2B5EF4-FFF2-40B4-BE49-F238E27FC236}">
              <a16:creationId xmlns:a16="http://schemas.microsoft.com/office/drawing/2014/main" id="{F556C769-3FDF-4E15-849B-274DC15A80BB}"/>
            </a:ext>
          </a:extLst>
        </xdr:cNvPr>
        <xdr:cNvSpPr/>
      </xdr:nvSpPr>
      <xdr:spPr>
        <a:xfrm rot="10800000">
          <a:off x="369570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541</xdr:row>
      <xdr:rowOff>0</xdr:rowOff>
    </xdr:from>
    <xdr:to>
      <xdr:col>24</xdr:col>
      <xdr:colOff>83820</xdr:colOff>
      <xdr:row>541</xdr:row>
      <xdr:rowOff>114300</xdr:rowOff>
    </xdr:to>
    <xdr:sp macro="" textlink="">
      <xdr:nvSpPr>
        <xdr:cNvPr id="4126" name="Arrow: Down 4125">
          <a:extLst>
            <a:ext uri="{FF2B5EF4-FFF2-40B4-BE49-F238E27FC236}">
              <a16:creationId xmlns:a16="http://schemas.microsoft.com/office/drawing/2014/main" id="{8F066790-85C3-4050-B075-5941646EDD43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541</xdr:row>
      <xdr:rowOff>0</xdr:rowOff>
    </xdr:from>
    <xdr:to>
      <xdr:col>39</xdr:col>
      <xdr:colOff>83820</xdr:colOff>
      <xdr:row>541</xdr:row>
      <xdr:rowOff>114300</xdr:rowOff>
    </xdr:to>
    <xdr:sp macro="" textlink="">
      <xdr:nvSpPr>
        <xdr:cNvPr id="4128" name="Arrow: Down 4127">
          <a:extLst>
            <a:ext uri="{FF2B5EF4-FFF2-40B4-BE49-F238E27FC236}">
              <a16:creationId xmlns:a16="http://schemas.microsoft.com/office/drawing/2014/main" id="{366A8842-C405-4B91-A20F-F62E1A00A32A}"/>
            </a:ext>
          </a:extLst>
        </xdr:cNvPr>
        <xdr:cNvSpPr/>
      </xdr:nvSpPr>
      <xdr:spPr>
        <a:xfrm rot="10800000">
          <a:off x="1154430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541</xdr:row>
      <xdr:rowOff>0</xdr:rowOff>
    </xdr:from>
    <xdr:to>
      <xdr:col>60</xdr:col>
      <xdr:colOff>83820</xdr:colOff>
      <xdr:row>541</xdr:row>
      <xdr:rowOff>114300</xdr:rowOff>
    </xdr:to>
    <xdr:sp macro="" textlink="">
      <xdr:nvSpPr>
        <xdr:cNvPr id="4130" name="Arrow: Down 4129">
          <a:extLst>
            <a:ext uri="{FF2B5EF4-FFF2-40B4-BE49-F238E27FC236}">
              <a16:creationId xmlns:a16="http://schemas.microsoft.com/office/drawing/2014/main" id="{60F79B7E-E5AE-4AC4-88EC-11D339B4F44A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542</xdr:row>
      <xdr:rowOff>0</xdr:rowOff>
    </xdr:from>
    <xdr:to>
      <xdr:col>71</xdr:col>
      <xdr:colOff>83820</xdr:colOff>
      <xdr:row>542</xdr:row>
      <xdr:rowOff>114300</xdr:rowOff>
    </xdr:to>
    <xdr:sp macro="" textlink="">
      <xdr:nvSpPr>
        <xdr:cNvPr id="4138" name="Arrow: Down 4137">
          <a:extLst>
            <a:ext uri="{FF2B5EF4-FFF2-40B4-BE49-F238E27FC236}">
              <a16:creationId xmlns:a16="http://schemas.microsoft.com/office/drawing/2014/main" id="{7915F7D3-CDDD-4F45-BC3A-4958E2E179BE}"/>
            </a:ext>
          </a:extLst>
        </xdr:cNvPr>
        <xdr:cNvSpPr/>
      </xdr:nvSpPr>
      <xdr:spPr>
        <a:xfrm rot="10800000">
          <a:off x="216331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542</xdr:row>
      <xdr:rowOff>0</xdr:rowOff>
    </xdr:from>
    <xdr:to>
      <xdr:col>45</xdr:col>
      <xdr:colOff>83820</xdr:colOff>
      <xdr:row>542</xdr:row>
      <xdr:rowOff>114300</xdr:rowOff>
    </xdr:to>
    <xdr:sp macro="" textlink="">
      <xdr:nvSpPr>
        <xdr:cNvPr id="4139" name="Arrow: Down 4138">
          <a:extLst>
            <a:ext uri="{FF2B5EF4-FFF2-40B4-BE49-F238E27FC236}">
              <a16:creationId xmlns:a16="http://schemas.microsoft.com/office/drawing/2014/main" id="{B3C3C1D3-1CB5-42AA-833C-79F06C416BCC}"/>
            </a:ext>
          </a:extLst>
        </xdr:cNvPr>
        <xdr:cNvSpPr/>
      </xdr:nvSpPr>
      <xdr:spPr>
        <a:xfrm>
          <a:off x="134035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542</xdr:row>
      <xdr:rowOff>0</xdr:rowOff>
    </xdr:from>
    <xdr:to>
      <xdr:col>24</xdr:col>
      <xdr:colOff>83820</xdr:colOff>
      <xdr:row>542</xdr:row>
      <xdr:rowOff>114300</xdr:rowOff>
    </xdr:to>
    <xdr:sp macro="" textlink="">
      <xdr:nvSpPr>
        <xdr:cNvPr id="4142" name="Arrow: Down 4141">
          <a:extLst>
            <a:ext uri="{FF2B5EF4-FFF2-40B4-BE49-F238E27FC236}">
              <a16:creationId xmlns:a16="http://schemas.microsoft.com/office/drawing/2014/main" id="{33BEBD43-9DA6-40E9-A00F-8CA938805BF8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542</xdr:row>
      <xdr:rowOff>0</xdr:rowOff>
    </xdr:from>
    <xdr:to>
      <xdr:col>60</xdr:col>
      <xdr:colOff>83820</xdr:colOff>
      <xdr:row>542</xdr:row>
      <xdr:rowOff>114300</xdr:rowOff>
    </xdr:to>
    <xdr:sp macro="" textlink="">
      <xdr:nvSpPr>
        <xdr:cNvPr id="4144" name="Arrow: Down 4143">
          <a:extLst>
            <a:ext uri="{FF2B5EF4-FFF2-40B4-BE49-F238E27FC236}">
              <a16:creationId xmlns:a16="http://schemas.microsoft.com/office/drawing/2014/main" id="{0B2E9C7C-29E1-4129-BC50-A5593ACCAD9F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542</xdr:row>
      <xdr:rowOff>0</xdr:rowOff>
    </xdr:from>
    <xdr:to>
      <xdr:col>39</xdr:col>
      <xdr:colOff>83820</xdr:colOff>
      <xdr:row>542</xdr:row>
      <xdr:rowOff>114300</xdr:rowOff>
    </xdr:to>
    <xdr:sp macro="" textlink="">
      <xdr:nvSpPr>
        <xdr:cNvPr id="4145" name="Arrow: Down 4144">
          <a:extLst>
            <a:ext uri="{FF2B5EF4-FFF2-40B4-BE49-F238E27FC236}">
              <a16:creationId xmlns:a16="http://schemas.microsoft.com/office/drawing/2014/main" id="{38F4E306-A40A-4A6A-837E-DCE4BFE69695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542</xdr:row>
      <xdr:rowOff>0</xdr:rowOff>
    </xdr:from>
    <xdr:to>
      <xdr:col>5</xdr:col>
      <xdr:colOff>83820</xdr:colOff>
      <xdr:row>542</xdr:row>
      <xdr:rowOff>114300</xdr:rowOff>
    </xdr:to>
    <xdr:sp macro="" textlink="">
      <xdr:nvSpPr>
        <xdr:cNvPr id="4146" name="Arrow: Down 4145">
          <a:extLst>
            <a:ext uri="{FF2B5EF4-FFF2-40B4-BE49-F238E27FC236}">
              <a16:creationId xmlns:a16="http://schemas.microsoft.com/office/drawing/2014/main" id="{D38D3A90-7AB7-42CE-8ED9-337AADF654EC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542</xdr:row>
      <xdr:rowOff>0</xdr:rowOff>
    </xdr:from>
    <xdr:to>
      <xdr:col>11</xdr:col>
      <xdr:colOff>83820</xdr:colOff>
      <xdr:row>542</xdr:row>
      <xdr:rowOff>114300</xdr:rowOff>
    </xdr:to>
    <xdr:sp macro="" textlink="">
      <xdr:nvSpPr>
        <xdr:cNvPr id="4147" name="Arrow: Down 4146">
          <a:extLst>
            <a:ext uri="{FF2B5EF4-FFF2-40B4-BE49-F238E27FC236}">
              <a16:creationId xmlns:a16="http://schemas.microsoft.com/office/drawing/2014/main" id="{0CD32D26-06B4-42AD-B9FA-95693178FB72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543</xdr:row>
      <xdr:rowOff>0</xdr:rowOff>
    </xdr:from>
    <xdr:to>
      <xdr:col>45</xdr:col>
      <xdr:colOff>83820</xdr:colOff>
      <xdr:row>543</xdr:row>
      <xdr:rowOff>114300</xdr:rowOff>
    </xdr:to>
    <xdr:sp macro="" textlink="">
      <xdr:nvSpPr>
        <xdr:cNvPr id="4149" name="Arrow: Down 4148">
          <a:extLst>
            <a:ext uri="{FF2B5EF4-FFF2-40B4-BE49-F238E27FC236}">
              <a16:creationId xmlns:a16="http://schemas.microsoft.com/office/drawing/2014/main" id="{C81E8636-BF00-4302-AD14-3E4678319388}"/>
            </a:ext>
          </a:extLst>
        </xdr:cNvPr>
        <xdr:cNvSpPr/>
      </xdr:nvSpPr>
      <xdr:spPr>
        <a:xfrm>
          <a:off x="1340358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543</xdr:row>
      <xdr:rowOff>0</xdr:rowOff>
    </xdr:from>
    <xdr:to>
      <xdr:col>24</xdr:col>
      <xdr:colOff>83820</xdr:colOff>
      <xdr:row>543</xdr:row>
      <xdr:rowOff>114300</xdr:rowOff>
    </xdr:to>
    <xdr:sp macro="" textlink="">
      <xdr:nvSpPr>
        <xdr:cNvPr id="4150" name="Arrow: Down 4149">
          <a:extLst>
            <a:ext uri="{FF2B5EF4-FFF2-40B4-BE49-F238E27FC236}">
              <a16:creationId xmlns:a16="http://schemas.microsoft.com/office/drawing/2014/main" id="{645B4FD0-A1D4-4C9E-AAC5-6BE6EAAD5F33}"/>
            </a:ext>
          </a:extLst>
        </xdr:cNvPr>
        <xdr:cNvSpPr/>
      </xdr:nvSpPr>
      <xdr:spPr>
        <a:xfrm>
          <a:off x="83362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543</xdr:row>
      <xdr:rowOff>0</xdr:rowOff>
    </xdr:from>
    <xdr:to>
      <xdr:col>60</xdr:col>
      <xdr:colOff>83820</xdr:colOff>
      <xdr:row>543</xdr:row>
      <xdr:rowOff>114300</xdr:rowOff>
    </xdr:to>
    <xdr:sp macro="" textlink="">
      <xdr:nvSpPr>
        <xdr:cNvPr id="4151" name="Arrow: Down 4150">
          <a:extLst>
            <a:ext uri="{FF2B5EF4-FFF2-40B4-BE49-F238E27FC236}">
              <a16:creationId xmlns:a16="http://schemas.microsoft.com/office/drawing/2014/main" id="{8C59436B-3974-4797-BCBC-76681E62BDF7}"/>
            </a:ext>
          </a:extLst>
        </xdr:cNvPr>
        <xdr:cNvSpPr/>
      </xdr:nvSpPr>
      <xdr:spPr>
        <a:xfrm>
          <a:off x="190804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543</xdr:row>
      <xdr:rowOff>0</xdr:rowOff>
    </xdr:from>
    <xdr:to>
      <xdr:col>39</xdr:col>
      <xdr:colOff>83820</xdr:colOff>
      <xdr:row>543</xdr:row>
      <xdr:rowOff>114300</xdr:rowOff>
    </xdr:to>
    <xdr:sp macro="" textlink="">
      <xdr:nvSpPr>
        <xdr:cNvPr id="4152" name="Arrow: Down 4151">
          <a:extLst>
            <a:ext uri="{FF2B5EF4-FFF2-40B4-BE49-F238E27FC236}">
              <a16:creationId xmlns:a16="http://schemas.microsoft.com/office/drawing/2014/main" id="{2A7B1747-C8AA-4C46-BC5D-90CD50B64D72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543</xdr:row>
      <xdr:rowOff>0</xdr:rowOff>
    </xdr:from>
    <xdr:to>
      <xdr:col>5</xdr:col>
      <xdr:colOff>83820</xdr:colOff>
      <xdr:row>543</xdr:row>
      <xdr:rowOff>114300</xdr:rowOff>
    </xdr:to>
    <xdr:sp macro="" textlink="">
      <xdr:nvSpPr>
        <xdr:cNvPr id="4153" name="Arrow: Down 4152">
          <a:extLst>
            <a:ext uri="{FF2B5EF4-FFF2-40B4-BE49-F238E27FC236}">
              <a16:creationId xmlns:a16="http://schemas.microsoft.com/office/drawing/2014/main" id="{22897B97-8989-42AB-9CA3-94BB9EA4872E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543</xdr:row>
      <xdr:rowOff>0</xdr:rowOff>
    </xdr:from>
    <xdr:to>
      <xdr:col>11</xdr:col>
      <xdr:colOff>83820</xdr:colOff>
      <xdr:row>543</xdr:row>
      <xdr:rowOff>114300</xdr:rowOff>
    </xdr:to>
    <xdr:sp macro="" textlink="">
      <xdr:nvSpPr>
        <xdr:cNvPr id="4154" name="Arrow: Down 4153">
          <a:extLst>
            <a:ext uri="{FF2B5EF4-FFF2-40B4-BE49-F238E27FC236}">
              <a16:creationId xmlns:a16="http://schemas.microsoft.com/office/drawing/2014/main" id="{BD2715BD-DAFB-46BF-A629-5E411C811CA7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543</xdr:row>
      <xdr:rowOff>0</xdr:rowOff>
    </xdr:from>
    <xdr:to>
      <xdr:col>71</xdr:col>
      <xdr:colOff>83820</xdr:colOff>
      <xdr:row>543</xdr:row>
      <xdr:rowOff>114300</xdr:rowOff>
    </xdr:to>
    <xdr:sp macro="" textlink="">
      <xdr:nvSpPr>
        <xdr:cNvPr id="4155" name="Arrow: Down 4154">
          <a:extLst>
            <a:ext uri="{FF2B5EF4-FFF2-40B4-BE49-F238E27FC236}">
              <a16:creationId xmlns:a16="http://schemas.microsoft.com/office/drawing/2014/main" id="{BB886706-0C53-44AB-921F-4A650A26937A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544</xdr:row>
      <xdr:rowOff>0</xdr:rowOff>
    </xdr:from>
    <xdr:to>
      <xdr:col>45</xdr:col>
      <xdr:colOff>83820</xdr:colOff>
      <xdr:row>544</xdr:row>
      <xdr:rowOff>114300</xdr:rowOff>
    </xdr:to>
    <xdr:sp macro="" textlink="">
      <xdr:nvSpPr>
        <xdr:cNvPr id="4156" name="Arrow: Down 4155">
          <a:extLst>
            <a:ext uri="{FF2B5EF4-FFF2-40B4-BE49-F238E27FC236}">
              <a16:creationId xmlns:a16="http://schemas.microsoft.com/office/drawing/2014/main" id="{306F1BE7-9CFF-40A9-9F82-402D05EB17A3}"/>
            </a:ext>
          </a:extLst>
        </xdr:cNvPr>
        <xdr:cNvSpPr/>
      </xdr:nvSpPr>
      <xdr:spPr>
        <a:xfrm>
          <a:off x="13403580" y="9940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544</xdr:row>
      <xdr:rowOff>0</xdr:rowOff>
    </xdr:from>
    <xdr:to>
      <xdr:col>24</xdr:col>
      <xdr:colOff>83820</xdr:colOff>
      <xdr:row>544</xdr:row>
      <xdr:rowOff>114300</xdr:rowOff>
    </xdr:to>
    <xdr:sp macro="" textlink="">
      <xdr:nvSpPr>
        <xdr:cNvPr id="4157" name="Arrow: Down 4156">
          <a:extLst>
            <a:ext uri="{FF2B5EF4-FFF2-40B4-BE49-F238E27FC236}">
              <a16:creationId xmlns:a16="http://schemas.microsoft.com/office/drawing/2014/main" id="{F6164328-0ECA-4471-B251-27B4822D022C}"/>
            </a:ext>
          </a:extLst>
        </xdr:cNvPr>
        <xdr:cNvSpPr/>
      </xdr:nvSpPr>
      <xdr:spPr>
        <a:xfrm>
          <a:off x="83362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544</xdr:row>
      <xdr:rowOff>0</xdr:rowOff>
    </xdr:from>
    <xdr:to>
      <xdr:col>60</xdr:col>
      <xdr:colOff>83820</xdr:colOff>
      <xdr:row>544</xdr:row>
      <xdr:rowOff>114300</xdr:rowOff>
    </xdr:to>
    <xdr:sp macro="" textlink="">
      <xdr:nvSpPr>
        <xdr:cNvPr id="4158" name="Arrow: Down 4157">
          <a:extLst>
            <a:ext uri="{FF2B5EF4-FFF2-40B4-BE49-F238E27FC236}">
              <a16:creationId xmlns:a16="http://schemas.microsoft.com/office/drawing/2014/main" id="{784D14D8-13D9-408F-BECB-428478E9070E}"/>
            </a:ext>
          </a:extLst>
        </xdr:cNvPr>
        <xdr:cNvSpPr/>
      </xdr:nvSpPr>
      <xdr:spPr>
        <a:xfrm>
          <a:off x="190804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544</xdr:row>
      <xdr:rowOff>0</xdr:rowOff>
    </xdr:from>
    <xdr:to>
      <xdr:col>5</xdr:col>
      <xdr:colOff>83820</xdr:colOff>
      <xdr:row>544</xdr:row>
      <xdr:rowOff>114300</xdr:rowOff>
    </xdr:to>
    <xdr:sp macro="" textlink="">
      <xdr:nvSpPr>
        <xdr:cNvPr id="4160" name="Arrow: Down 4159">
          <a:extLst>
            <a:ext uri="{FF2B5EF4-FFF2-40B4-BE49-F238E27FC236}">
              <a16:creationId xmlns:a16="http://schemas.microsoft.com/office/drawing/2014/main" id="{793CEBA1-E8FB-4960-ABAD-7890A6E34D24}"/>
            </a:ext>
          </a:extLst>
        </xdr:cNvPr>
        <xdr:cNvSpPr/>
      </xdr:nvSpPr>
      <xdr:spPr>
        <a:xfrm>
          <a:off x="192786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544</xdr:row>
      <xdr:rowOff>0</xdr:rowOff>
    </xdr:from>
    <xdr:to>
      <xdr:col>11</xdr:col>
      <xdr:colOff>83820</xdr:colOff>
      <xdr:row>544</xdr:row>
      <xdr:rowOff>114300</xdr:rowOff>
    </xdr:to>
    <xdr:sp macro="" textlink="">
      <xdr:nvSpPr>
        <xdr:cNvPr id="4161" name="Arrow: Down 4160">
          <a:extLst>
            <a:ext uri="{FF2B5EF4-FFF2-40B4-BE49-F238E27FC236}">
              <a16:creationId xmlns:a16="http://schemas.microsoft.com/office/drawing/2014/main" id="{274DDD26-CE36-4738-AA38-EB165A122579}"/>
            </a:ext>
          </a:extLst>
        </xdr:cNvPr>
        <xdr:cNvSpPr/>
      </xdr:nvSpPr>
      <xdr:spPr>
        <a:xfrm>
          <a:off x="369570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544</xdr:row>
      <xdr:rowOff>0</xdr:rowOff>
    </xdr:from>
    <xdr:to>
      <xdr:col>71</xdr:col>
      <xdr:colOff>83820</xdr:colOff>
      <xdr:row>544</xdr:row>
      <xdr:rowOff>114300</xdr:rowOff>
    </xdr:to>
    <xdr:sp macro="" textlink="">
      <xdr:nvSpPr>
        <xdr:cNvPr id="4162" name="Arrow: Down 4161">
          <a:extLst>
            <a:ext uri="{FF2B5EF4-FFF2-40B4-BE49-F238E27FC236}">
              <a16:creationId xmlns:a16="http://schemas.microsoft.com/office/drawing/2014/main" id="{FC1FF6E6-78CB-4625-BFFB-FA18763185FC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544</xdr:row>
      <xdr:rowOff>0</xdr:rowOff>
    </xdr:from>
    <xdr:to>
      <xdr:col>39</xdr:col>
      <xdr:colOff>83820</xdr:colOff>
      <xdr:row>544</xdr:row>
      <xdr:rowOff>114300</xdr:rowOff>
    </xdr:to>
    <xdr:sp macro="" textlink="">
      <xdr:nvSpPr>
        <xdr:cNvPr id="4163" name="Arrow: Down 4162">
          <a:extLst>
            <a:ext uri="{FF2B5EF4-FFF2-40B4-BE49-F238E27FC236}">
              <a16:creationId xmlns:a16="http://schemas.microsoft.com/office/drawing/2014/main" id="{3DE9114F-E73C-4EEF-AB79-2D6024989B4C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545</xdr:row>
      <xdr:rowOff>0</xdr:rowOff>
    </xdr:from>
    <xdr:to>
      <xdr:col>60</xdr:col>
      <xdr:colOff>83820</xdr:colOff>
      <xdr:row>545</xdr:row>
      <xdr:rowOff>114300</xdr:rowOff>
    </xdr:to>
    <xdr:sp macro="" textlink="">
      <xdr:nvSpPr>
        <xdr:cNvPr id="4166" name="Arrow: Down 4165">
          <a:extLst>
            <a:ext uri="{FF2B5EF4-FFF2-40B4-BE49-F238E27FC236}">
              <a16:creationId xmlns:a16="http://schemas.microsoft.com/office/drawing/2014/main" id="{16FCA6AD-73DC-4A48-8D8D-0500D2889621}"/>
            </a:ext>
          </a:extLst>
        </xdr:cNvPr>
        <xdr:cNvSpPr/>
      </xdr:nvSpPr>
      <xdr:spPr>
        <a:xfrm>
          <a:off x="190804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545</xdr:row>
      <xdr:rowOff>0</xdr:rowOff>
    </xdr:from>
    <xdr:to>
      <xdr:col>71</xdr:col>
      <xdr:colOff>83820</xdr:colOff>
      <xdr:row>545</xdr:row>
      <xdr:rowOff>114300</xdr:rowOff>
    </xdr:to>
    <xdr:sp macro="" textlink="">
      <xdr:nvSpPr>
        <xdr:cNvPr id="4169" name="Arrow: Down 4168">
          <a:extLst>
            <a:ext uri="{FF2B5EF4-FFF2-40B4-BE49-F238E27FC236}">
              <a16:creationId xmlns:a16="http://schemas.microsoft.com/office/drawing/2014/main" id="{60C22522-5E3B-435B-B5CF-8D2C8514F5ED}"/>
            </a:ext>
          </a:extLst>
        </xdr:cNvPr>
        <xdr:cNvSpPr/>
      </xdr:nvSpPr>
      <xdr:spPr>
        <a:xfrm>
          <a:off x="216331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545</xdr:row>
      <xdr:rowOff>0</xdr:rowOff>
    </xdr:from>
    <xdr:to>
      <xdr:col>39</xdr:col>
      <xdr:colOff>83820</xdr:colOff>
      <xdr:row>545</xdr:row>
      <xdr:rowOff>114300</xdr:rowOff>
    </xdr:to>
    <xdr:sp macro="" textlink="">
      <xdr:nvSpPr>
        <xdr:cNvPr id="4170" name="Arrow: Down 4169">
          <a:extLst>
            <a:ext uri="{FF2B5EF4-FFF2-40B4-BE49-F238E27FC236}">
              <a16:creationId xmlns:a16="http://schemas.microsoft.com/office/drawing/2014/main" id="{59D414A7-CC5B-4D5F-B06C-8CFFAEE0C389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545</xdr:row>
      <xdr:rowOff>0</xdr:rowOff>
    </xdr:from>
    <xdr:to>
      <xdr:col>11</xdr:col>
      <xdr:colOff>83820</xdr:colOff>
      <xdr:row>545</xdr:row>
      <xdr:rowOff>114300</xdr:rowOff>
    </xdr:to>
    <xdr:sp macro="" textlink="">
      <xdr:nvSpPr>
        <xdr:cNvPr id="4171" name="Arrow: Down 4170">
          <a:extLst>
            <a:ext uri="{FF2B5EF4-FFF2-40B4-BE49-F238E27FC236}">
              <a16:creationId xmlns:a16="http://schemas.microsoft.com/office/drawing/2014/main" id="{56845CCA-1EEE-4DF8-A060-CF399CE3C675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545</xdr:row>
      <xdr:rowOff>0</xdr:rowOff>
    </xdr:from>
    <xdr:to>
      <xdr:col>5</xdr:col>
      <xdr:colOff>83820</xdr:colOff>
      <xdr:row>545</xdr:row>
      <xdr:rowOff>114300</xdr:rowOff>
    </xdr:to>
    <xdr:sp macro="" textlink="">
      <xdr:nvSpPr>
        <xdr:cNvPr id="4172" name="Arrow: Down 4171">
          <a:extLst>
            <a:ext uri="{FF2B5EF4-FFF2-40B4-BE49-F238E27FC236}">
              <a16:creationId xmlns:a16="http://schemas.microsoft.com/office/drawing/2014/main" id="{66992E61-C84F-425E-99B6-38AE26360789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545</xdr:row>
      <xdr:rowOff>0</xdr:rowOff>
    </xdr:from>
    <xdr:to>
      <xdr:col>24</xdr:col>
      <xdr:colOff>83820</xdr:colOff>
      <xdr:row>545</xdr:row>
      <xdr:rowOff>114300</xdr:rowOff>
    </xdr:to>
    <xdr:sp macro="" textlink="">
      <xdr:nvSpPr>
        <xdr:cNvPr id="4173" name="Arrow: Down 4172">
          <a:extLst>
            <a:ext uri="{FF2B5EF4-FFF2-40B4-BE49-F238E27FC236}">
              <a16:creationId xmlns:a16="http://schemas.microsoft.com/office/drawing/2014/main" id="{C83B7ADE-7883-44FD-A1BC-0BC860EBF3DA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545</xdr:row>
      <xdr:rowOff>0</xdr:rowOff>
    </xdr:from>
    <xdr:to>
      <xdr:col>45</xdr:col>
      <xdr:colOff>83820</xdr:colOff>
      <xdr:row>545</xdr:row>
      <xdr:rowOff>114300</xdr:rowOff>
    </xdr:to>
    <xdr:sp macro="" textlink="">
      <xdr:nvSpPr>
        <xdr:cNvPr id="4174" name="Arrow: Down 4173">
          <a:extLst>
            <a:ext uri="{FF2B5EF4-FFF2-40B4-BE49-F238E27FC236}">
              <a16:creationId xmlns:a16="http://schemas.microsoft.com/office/drawing/2014/main" id="{095933AD-63AB-40AE-9D18-309FE6E88D63}"/>
            </a:ext>
          </a:extLst>
        </xdr:cNvPr>
        <xdr:cNvSpPr/>
      </xdr:nvSpPr>
      <xdr:spPr>
        <a:xfrm rot="10800000">
          <a:off x="13403580" y="9976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546</xdr:row>
      <xdr:rowOff>0</xdr:rowOff>
    </xdr:from>
    <xdr:to>
      <xdr:col>11</xdr:col>
      <xdr:colOff>83820</xdr:colOff>
      <xdr:row>546</xdr:row>
      <xdr:rowOff>114300</xdr:rowOff>
    </xdr:to>
    <xdr:sp macro="" textlink="">
      <xdr:nvSpPr>
        <xdr:cNvPr id="4178" name="Arrow: Down 4177">
          <a:extLst>
            <a:ext uri="{FF2B5EF4-FFF2-40B4-BE49-F238E27FC236}">
              <a16:creationId xmlns:a16="http://schemas.microsoft.com/office/drawing/2014/main" id="{130199A7-E7D2-4235-92C6-E8709DF436C4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546</xdr:row>
      <xdr:rowOff>0</xdr:rowOff>
    </xdr:from>
    <xdr:to>
      <xdr:col>5</xdr:col>
      <xdr:colOff>83820</xdr:colOff>
      <xdr:row>546</xdr:row>
      <xdr:rowOff>114300</xdr:rowOff>
    </xdr:to>
    <xdr:sp macro="" textlink="">
      <xdr:nvSpPr>
        <xdr:cNvPr id="4179" name="Arrow: Down 4178">
          <a:extLst>
            <a:ext uri="{FF2B5EF4-FFF2-40B4-BE49-F238E27FC236}">
              <a16:creationId xmlns:a16="http://schemas.microsoft.com/office/drawing/2014/main" id="{3FD82930-7BAC-4F2D-B8A5-A29FB98C755A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546</xdr:row>
      <xdr:rowOff>0</xdr:rowOff>
    </xdr:from>
    <xdr:to>
      <xdr:col>24</xdr:col>
      <xdr:colOff>83820</xdr:colOff>
      <xdr:row>546</xdr:row>
      <xdr:rowOff>114300</xdr:rowOff>
    </xdr:to>
    <xdr:sp macro="" textlink="">
      <xdr:nvSpPr>
        <xdr:cNvPr id="4180" name="Arrow: Down 4179">
          <a:extLst>
            <a:ext uri="{FF2B5EF4-FFF2-40B4-BE49-F238E27FC236}">
              <a16:creationId xmlns:a16="http://schemas.microsoft.com/office/drawing/2014/main" id="{B69C2561-3668-4AF8-89F6-0981F966A861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546</xdr:row>
      <xdr:rowOff>0</xdr:rowOff>
    </xdr:from>
    <xdr:to>
      <xdr:col>39</xdr:col>
      <xdr:colOff>83820</xdr:colOff>
      <xdr:row>546</xdr:row>
      <xdr:rowOff>114300</xdr:rowOff>
    </xdr:to>
    <xdr:sp macro="" textlink="">
      <xdr:nvSpPr>
        <xdr:cNvPr id="4182" name="Arrow: Down 4181">
          <a:extLst>
            <a:ext uri="{FF2B5EF4-FFF2-40B4-BE49-F238E27FC236}">
              <a16:creationId xmlns:a16="http://schemas.microsoft.com/office/drawing/2014/main" id="{E65E9E2B-0A81-4B67-80BC-D84662531409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546</xdr:row>
      <xdr:rowOff>0</xdr:rowOff>
    </xdr:from>
    <xdr:to>
      <xdr:col>45</xdr:col>
      <xdr:colOff>83820</xdr:colOff>
      <xdr:row>546</xdr:row>
      <xdr:rowOff>114300</xdr:rowOff>
    </xdr:to>
    <xdr:sp macro="" textlink="">
      <xdr:nvSpPr>
        <xdr:cNvPr id="4183" name="Arrow: Down 4182">
          <a:extLst>
            <a:ext uri="{FF2B5EF4-FFF2-40B4-BE49-F238E27FC236}">
              <a16:creationId xmlns:a16="http://schemas.microsoft.com/office/drawing/2014/main" id="{2181BBAF-B9D9-4487-BEC0-861AA73EBC07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546</xdr:row>
      <xdr:rowOff>0</xdr:rowOff>
    </xdr:from>
    <xdr:to>
      <xdr:col>60</xdr:col>
      <xdr:colOff>83820</xdr:colOff>
      <xdr:row>546</xdr:row>
      <xdr:rowOff>114300</xdr:rowOff>
    </xdr:to>
    <xdr:sp macro="" textlink="">
      <xdr:nvSpPr>
        <xdr:cNvPr id="4184" name="Arrow: Down 4183">
          <a:extLst>
            <a:ext uri="{FF2B5EF4-FFF2-40B4-BE49-F238E27FC236}">
              <a16:creationId xmlns:a16="http://schemas.microsoft.com/office/drawing/2014/main" id="{C91D8FF1-FA94-4587-84D1-0A5C57DDD1A9}"/>
            </a:ext>
          </a:extLst>
        </xdr:cNvPr>
        <xdr:cNvSpPr/>
      </xdr:nvSpPr>
      <xdr:spPr>
        <a:xfrm rot="10800000">
          <a:off x="190804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546</xdr:row>
      <xdr:rowOff>0</xdr:rowOff>
    </xdr:from>
    <xdr:to>
      <xdr:col>71</xdr:col>
      <xdr:colOff>83820</xdr:colOff>
      <xdr:row>546</xdr:row>
      <xdr:rowOff>114300</xdr:rowOff>
    </xdr:to>
    <xdr:sp macro="" textlink="">
      <xdr:nvSpPr>
        <xdr:cNvPr id="4186" name="Arrow: Down 4185">
          <a:extLst>
            <a:ext uri="{FF2B5EF4-FFF2-40B4-BE49-F238E27FC236}">
              <a16:creationId xmlns:a16="http://schemas.microsoft.com/office/drawing/2014/main" id="{B05CE5BF-A6D6-4FAB-A1A8-71D6DE1430D0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547</xdr:row>
      <xdr:rowOff>0</xdr:rowOff>
    </xdr:from>
    <xdr:to>
      <xdr:col>11</xdr:col>
      <xdr:colOff>83820</xdr:colOff>
      <xdr:row>547</xdr:row>
      <xdr:rowOff>114300</xdr:rowOff>
    </xdr:to>
    <xdr:sp macro="" textlink="">
      <xdr:nvSpPr>
        <xdr:cNvPr id="4187" name="Arrow: Down 4186">
          <a:extLst>
            <a:ext uri="{FF2B5EF4-FFF2-40B4-BE49-F238E27FC236}">
              <a16:creationId xmlns:a16="http://schemas.microsoft.com/office/drawing/2014/main" id="{709C1D6C-994B-40BC-9484-A4DC803FB542}"/>
            </a:ext>
          </a:extLst>
        </xdr:cNvPr>
        <xdr:cNvSpPr/>
      </xdr:nvSpPr>
      <xdr:spPr>
        <a:xfrm rot="10800000">
          <a:off x="36957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547</xdr:row>
      <xdr:rowOff>0</xdr:rowOff>
    </xdr:from>
    <xdr:to>
      <xdr:col>5</xdr:col>
      <xdr:colOff>83820</xdr:colOff>
      <xdr:row>547</xdr:row>
      <xdr:rowOff>114300</xdr:rowOff>
    </xdr:to>
    <xdr:sp macro="" textlink="">
      <xdr:nvSpPr>
        <xdr:cNvPr id="4188" name="Arrow: Down 4187">
          <a:extLst>
            <a:ext uri="{FF2B5EF4-FFF2-40B4-BE49-F238E27FC236}">
              <a16:creationId xmlns:a16="http://schemas.microsoft.com/office/drawing/2014/main" id="{CD170E14-F348-4C61-B2C8-2BBDA34BC211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547</xdr:row>
      <xdr:rowOff>0</xdr:rowOff>
    </xdr:from>
    <xdr:to>
      <xdr:col>24</xdr:col>
      <xdr:colOff>83820</xdr:colOff>
      <xdr:row>547</xdr:row>
      <xdr:rowOff>114300</xdr:rowOff>
    </xdr:to>
    <xdr:sp macro="" textlink="">
      <xdr:nvSpPr>
        <xdr:cNvPr id="4189" name="Arrow: Down 4188">
          <a:extLst>
            <a:ext uri="{FF2B5EF4-FFF2-40B4-BE49-F238E27FC236}">
              <a16:creationId xmlns:a16="http://schemas.microsoft.com/office/drawing/2014/main" id="{FA835092-C95F-459C-A3D6-9A9670639018}"/>
            </a:ext>
          </a:extLst>
        </xdr:cNvPr>
        <xdr:cNvSpPr/>
      </xdr:nvSpPr>
      <xdr:spPr>
        <a:xfrm rot="10800000">
          <a:off x="83362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547</xdr:row>
      <xdr:rowOff>0</xdr:rowOff>
    </xdr:from>
    <xdr:to>
      <xdr:col>39</xdr:col>
      <xdr:colOff>83820</xdr:colOff>
      <xdr:row>547</xdr:row>
      <xdr:rowOff>114300</xdr:rowOff>
    </xdr:to>
    <xdr:sp macro="" textlink="">
      <xdr:nvSpPr>
        <xdr:cNvPr id="4190" name="Arrow: Down 4189">
          <a:extLst>
            <a:ext uri="{FF2B5EF4-FFF2-40B4-BE49-F238E27FC236}">
              <a16:creationId xmlns:a16="http://schemas.microsoft.com/office/drawing/2014/main" id="{6B5ACB71-AF59-4646-B441-89F84499F687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547</xdr:row>
      <xdr:rowOff>0</xdr:rowOff>
    </xdr:from>
    <xdr:to>
      <xdr:col>45</xdr:col>
      <xdr:colOff>83820</xdr:colOff>
      <xdr:row>547</xdr:row>
      <xdr:rowOff>114300</xdr:rowOff>
    </xdr:to>
    <xdr:sp macro="" textlink="">
      <xdr:nvSpPr>
        <xdr:cNvPr id="4191" name="Arrow: Down 4190">
          <a:extLst>
            <a:ext uri="{FF2B5EF4-FFF2-40B4-BE49-F238E27FC236}">
              <a16:creationId xmlns:a16="http://schemas.microsoft.com/office/drawing/2014/main" id="{F7A27C34-AAD4-43E1-9532-3C01FC594AC3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547</xdr:row>
      <xdr:rowOff>0</xdr:rowOff>
    </xdr:from>
    <xdr:to>
      <xdr:col>71</xdr:col>
      <xdr:colOff>83820</xdr:colOff>
      <xdr:row>547</xdr:row>
      <xdr:rowOff>114300</xdr:rowOff>
    </xdr:to>
    <xdr:sp macro="" textlink="">
      <xdr:nvSpPr>
        <xdr:cNvPr id="4193" name="Arrow: Down 4192">
          <a:extLst>
            <a:ext uri="{FF2B5EF4-FFF2-40B4-BE49-F238E27FC236}">
              <a16:creationId xmlns:a16="http://schemas.microsoft.com/office/drawing/2014/main" id="{3267F2B3-F702-476A-9495-43624F403D1E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547</xdr:row>
      <xdr:rowOff>0</xdr:rowOff>
    </xdr:from>
    <xdr:to>
      <xdr:col>60</xdr:col>
      <xdr:colOff>83820</xdr:colOff>
      <xdr:row>547</xdr:row>
      <xdr:rowOff>114300</xdr:rowOff>
    </xdr:to>
    <xdr:sp macro="" textlink="">
      <xdr:nvSpPr>
        <xdr:cNvPr id="4194" name="Arrow: Down 4193">
          <a:extLst>
            <a:ext uri="{FF2B5EF4-FFF2-40B4-BE49-F238E27FC236}">
              <a16:creationId xmlns:a16="http://schemas.microsoft.com/office/drawing/2014/main" id="{2B73A38D-FCCA-4FFB-80BA-13FBEB8FF0E9}"/>
            </a:ext>
          </a:extLst>
        </xdr:cNvPr>
        <xdr:cNvSpPr/>
      </xdr:nvSpPr>
      <xdr:spPr>
        <a:xfrm>
          <a:off x="19080480" y="10013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548</xdr:row>
      <xdr:rowOff>0</xdr:rowOff>
    </xdr:from>
    <xdr:to>
      <xdr:col>11</xdr:col>
      <xdr:colOff>83820</xdr:colOff>
      <xdr:row>548</xdr:row>
      <xdr:rowOff>114300</xdr:rowOff>
    </xdr:to>
    <xdr:sp macro="" textlink="">
      <xdr:nvSpPr>
        <xdr:cNvPr id="4195" name="Arrow: Down 4194">
          <a:extLst>
            <a:ext uri="{FF2B5EF4-FFF2-40B4-BE49-F238E27FC236}">
              <a16:creationId xmlns:a16="http://schemas.microsoft.com/office/drawing/2014/main" id="{364AEA6F-7E47-4EEC-8D8B-647FE010A627}"/>
            </a:ext>
          </a:extLst>
        </xdr:cNvPr>
        <xdr:cNvSpPr/>
      </xdr:nvSpPr>
      <xdr:spPr>
        <a:xfrm rot="10800000">
          <a:off x="36957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548</xdr:row>
      <xdr:rowOff>0</xdr:rowOff>
    </xdr:from>
    <xdr:to>
      <xdr:col>5</xdr:col>
      <xdr:colOff>83820</xdr:colOff>
      <xdr:row>548</xdr:row>
      <xdr:rowOff>114300</xdr:rowOff>
    </xdr:to>
    <xdr:sp macro="" textlink="">
      <xdr:nvSpPr>
        <xdr:cNvPr id="4196" name="Arrow: Down 4195">
          <a:extLst>
            <a:ext uri="{FF2B5EF4-FFF2-40B4-BE49-F238E27FC236}">
              <a16:creationId xmlns:a16="http://schemas.microsoft.com/office/drawing/2014/main" id="{BCD5269C-CFC1-45AE-BAA7-DD7C6B5E1FC8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548</xdr:row>
      <xdr:rowOff>0</xdr:rowOff>
    </xdr:from>
    <xdr:to>
      <xdr:col>39</xdr:col>
      <xdr:colOff>83820</xdr:colOff>
      <xdr:row>548</xdr:row>
      <xdr:rowOff>114300</xdr:rowOff>
    </xdr:to>
    <xdr:sp macro="" textlink="">
      <xdr:nvSpPr>
        <xdr:cNvPr id="4198" name="Arrow: Down 4197">
          <a:extLst>
            <a:ext uri="{FF2B5EF4-FFF2-40B4-BE49-F238E27FC236}">
              <a16:creationId xmlns:a16="http://schemas.microsoft.com/office/drawing/2014/main" id="{8F705266-872E-4C56-8458-EB3CC1B80969}"/>
            </a:ext>
          </a:extLst>
        </xdr:cNvPr>
        <xdr:cNvSpPr/>
      </xdr:nvSpPr>
      <xdr:spPr>
        <a:xfrm>
          <a:off x="115443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548</xdr:row>
      <xdr:rowOff>0</xdr:rowOff>
    </xdr:from>
    <xdr:to>
      <xdr:col>45</xdr:col>
      <xdr:colOff>83820</xdr:colOff>
      <xdr:row>548</xdr:row>
      <xdr:rowOff>114300</xdr:rowOff>
    </xdr:to>
    <xdr:sp macro="" textlink="">
      <xdr:nvSpPr>
        <xdr:cNvPr id="4199" name="Arrow: Down 4198">
          <a:extLst>
            <a:ext uri="{FF2B5EF4-FFF2-40B4-BE49-F238E27FC236}">
              <a16:creationId xmlns:a16="http://schemas.microsoft.com/office/drawing/2014/main" id="{044B4E8D-F411-45BA-A253-7530B6B1CD68}"/>
            </a:ext>
          </a:extLst>
        </xdr:cNvPr>
        <xdr:cNvSpPr/>
      </xdr:nvSpPr>
      <xdr:spPr>
        <a:xfrm>
          <a:off x="134035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548</xdr:row>
      <xdr:rowOff>0</xdr:rowOff>
    </xdr:from>
    <xdr:to>
      <xdr:col>71</xdr:col>
      <xdr:colOff>83820</xdr:colOff>
      <xdr:row>548</xdr:row>
      <xdr:rowOff>114300</xdr:rowOff>
    </xdr:to>
    <xdr:sp macro="" textlink="">
      <xdr:nvSpPr>
        <xdr:cNvPr id="4200" name="Arrow: Down 4199">
          <a:extLst>
            <a:ext uri="{FF2B5EF4-FFF2-40B4-BE49-F238E27FC236}">
              <a16:creationId xmlns:a16="http://schemas.microsoft.com/office/drawing/2014/main" id="{EE88133B-F9E7-46B2-BF28-D318DC04A917}"/>
            </a:ext>
          </a:extLst>
        </xdr:cNvPr>
        <xdr:cNvSpPr/>
      </xdr:nvSpPr>
      <xdr:spPr>
        <a:xfrm rot="10800000">
          <a:off x="216331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548</xdr:row>
      <xdr:rowOff>0</xdr:rowOff>
    </xdr:from>
    <xdr:to>
      <xdr:col>60</xdr:col>
      <xdr:colOff>83820</xdr:colOff>
      <xdr:row>548</xdr:row>
      <xdr:rowOff>114300</xdr:rowOff>
    </xdr:to>
    <xdr:sp macro="" textlink="">
      <xdr:nvSpPr>
        <xdr:cNvPr id="4203" name="Arrow: Down 4202">
          <a:extLst>
            <a:ext uri="{FF2B5EF4-FFF2-40B4-BE49-F238E27FC236}">
              <a16:creationId xmlns:a16="http://schemas.microsoft.com/office/drawing/2014/main" id="{267D910E-1601-4A63-8D0F-EC8C1A1A9461}"/>
            </a:ext>
          </a:extLst>
        </xdr:cNvPr>
        <xdr:cNvSpPr/>
      </xdr:nvSpPr>
      <xdr:spPr>
        <a:xfrm rot="10800000">
          <a:off x="190804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549</xdr:row>
      <xdr:rowOff>0</xdr:rowOff>
    </xdr:from>
    <xdr:to>
      <xdr:col>39</xdr:col>
      <xdr:colOff>83820</xdr:colOff>
      <xdr:row>549</xdr:row>
      <xdr:rowOff>114300</xdr:rowOff>
    </xdr:to>
    <xdr:sp macro="" textlink="">
      <xdr:nvSpPr>
        <xdr:cNvPr id="4207" name="Arrow: Down 4206">
          <a:extLst>
            <a:ext uri="{FF2B5EF4-FFF2-40B4-BE49-F238E27FC236}">
              <a16:creationId xmlns:a16="http://schemas.microsoft.com/office/drawing/2014/main" id="{8BC772A9-D031-41CD-90C7-640A3B303E0A}"/>
            </a:ext>
          </a:extLst>
        </xdr:cNvPr>
        <xdr:cNvSpPr/>
      </xdr:nvSpPr>
      <xdr:spPr>
        <a:xfrm>
          <a:off x="1154430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549</xdr:row>
      <xdr:rowOff>0</xdr:rowOff>
    </xdr:from>
    <xdr:to>
      <xdr:col>45</xdr:col>
      <xdr:colOff>83820</xdr:colOff>
      <xdr:row>549</xdr:row>
      <xdr:rowOff>114300</xdr:rowOff>
    </xdr:to>
    <xdr:sp macro="" textlink="">
      <xdr:nvSpPr>
        <xdr:cNvPr id="4208" name="Arrow: Down 4207">
          <a:extLst>
            <a:ext uri="{FF2B5EF4-FFF2-40B4-BE49-F238E27FC236}">
              <a16:creationId xmlns:a16="http://schemas.microsoft.com/office/drawing/2014/main" id="{FFE8CF5A-5E24-41A5-8ABB-9CC191FC11C6}"/>
            </a:ext>
          </a:extLst>
        </xdr:cNvPr>
        <xdr:cNvSpPr/>
      </xdr:nvSpPr>
      <xdr:spPr>
        <a:xfrm>
          <a:off x="134035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549</xdr:row>
      <xdr:rowOff>0</xdr:rowOff>
    </xdr:from>
    <xdr:to>
      <xdr:col>11</xdr:col>
      <xdr:colOff>83820</xdr:colOff>
      <xdr:row>549</xdr:row>
      <xdr:rowOff>114300</xdr:rowOff>
    </xdr:to>
    <xdr:sp macro="" textlink="">
      <xdr:nvSpPr>
        <xdr:cNvPr id="4211" name="Arrow: Down 4210">
          <a:extLst>
            <a:ext uri="{FF2B5EF4-FFF2-40B4-BE49-F238E27FC236}">
              <a16:creationId xmlns:a16="http://schemas.microsoft.com/office/drawing/2014/main" id="{3D471F65-3C9B-4117-974E-166EBE7D3523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549</xdr:row>
      <xdr:rowOff>0</xdr:rowOff>
    </xdr:from>
    <xdr:to>
      <xdr:col>5</xdr:col>
      <xdr:colOff>83820</xdr:colOff>
      <xdr:row>549</xdr:row>
      <xdr:rowOff>114300</xdr:rowOff>
    </xdr:to>
    <xdr:sp macro="" textlink="">
      <xdr:nvSpPr>
        <xdr:cNvPr id="4212" name="Arrow: Down 4211">
          <a:extLst>
            <a:ext uri="{FF2B5EF4-FFF2-40B4-BE49-F238E27FC236}">
              <a16:creationId xmlns:a16="http://schemas.microsoft.com/office/drawing/2014/main" id="{F3119D76-288F-481B-87F0-54EA07C8C77B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548</xdr:row>
      <xdr:rowOff>0</xdr:rowOff>
    </xdr:from>
    <xdr:to>
      <xdr:col>24</xdr:col>
      <xdr:colOff>83820</xdr:colOff>
      <xdr:row>548</xdr:row>
      <xdr:rowOff>114300</xdr:rowOff>
    </xdr:to>
    <xdr:sp macro="" textlink="">
      <xdr:nvSpPr>
        <xdr:cNvPr id="4213" name="Arrow: Down 4212">
          <a:extLst>
            <a:ext uri="{FF2B5EF4-FFF2-40B4-BE49-F238E27FC236}">
              <a16:creationId xmlns:a16="http://schemas.microsoft.com/office/drawing/2014/main" id="{815D2A2E-4300-4CAA-8750-4E2EE792A144}"/>
            </a:ext>
          </a:extLst>
        </xdr:cNvPr>
        <xdr:cNvSpPr/>
      </xdr:nvSpPr>
      <xdr:spPr>
        <a:xfrm>
          <a:off x="8336280" y="10031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549</xdr:row>
      <xdr:rowOff>0</xdr:rowOff>
    </xdr:from>
    <xdr:to>
      <xdr:col>24</xdr:col>
      <xdr:colOff>83820</xdr:colOff>
      <xdr:row>549</xdr:row>
      <xdr:rowOff>114300</xdr:rowOff>
    </xdr:to>
    <xdr:sp macro="" textlink="">
      <xdr:nvSpPr>
        <xdr:cNvPr id="4214" name="Arrow: Down 4213">
          <a:extLst>
            <a:ext uri="{FF2B5EF4-FFF2-40B4-BE49-F238E27FC236}">
              <a16:creationId xmlns:a16="http://schemas.microsoft.com/office/drawing/2014/main" id="{1365CF51-2057-403D-921E-94DE56D62C54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549</xdr:row>
      <xdr:rowOff>0</xdr:rowOff>
    </xdr:from>
    <xdr:to>
      <xdr:col>71</xdr:col>
      <xdr:colOff>83820</xdr:colOff>
      <xdr:row>549</xdr:row>
      <xdr:rowOff>114300</xdr:rowOff>
    </xdr:to>
    <xdr:sp macro="" textlink="">
      <xdr:nvSpPr>
        <xdr:cNvPr id="4215" name="Arrow: Down 4214">
          <a:extLst>
            <a:ext uri="{FF2B5EF4-FFF2-40B4-BE49-F238E27FC236}">
              <a16:creationId xmlns:a16="http://schemas.microsoft.com/office/drawing/2014/main" id="{94806BCD-B1FF-4F77-908F-F260F887E7CE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549</xdr:row>
      <xdr:rowOff>0</xdr:rowOff>
    </xdr:from>
    <xdr:to>
      <xdr:col>60</xdr:col>
      <xdr:colOff>83820</xdr:colOff>
      <xdr:row>549</xdr:row>
      <xdr:rowOff>114300</xdr:rowOff>
    </xdr:to>
    <xdr:sp macro="" textlink="">
      <xdr:nvSpPr>
        <xdr:cNvPr id="4216" name="Arrow: Down 4215">
          <a:extLst>
            <a:ext uri="{FF2B5EF4-FFF2-40B4-BE49-F238E27FC236}">
              <a16:creationId xmlns:a16="http://schemas.microsoft.com/office/drawing/2014/main" id="{74A394AA-F750-4107-A9D5-210E434BF5D6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550</xdr:row>
      <xdr:rowOff>0</xdr:rowOff>
    </xdr:from>
    <xdr:to>
      <xdr:col>39</xdr:col>
      <xdr:colOff>83820</xdr:colOff>
      <xdr:row>550</xdr:row>
      <xdr:rowOff>114300</xdr:rowOff>
    </xdr:to>
    <xdr:sp macro="" textlink="">
      <xdr:nvSpPr>
        <xdr:cNvPr id="4217" name="Arrow: Down 4216">
          <a:extLst>
            <a:ext uri="{FF2B5EF4-FFF2-40B4-BE49-F238E27FC236}">
              <a16:creationId xmlns:a16="http://schemas.microsoft.com/office/drawing/2014/main" id="{732A4FE6-3717-45B8-8FD3-A5DD6DF90190}"/>
            </a:ext>
          </a:extLst>
        </xdr:cNvPr>
        <xdr:cNvSpPr/>
      </xdr:nvSpPr>
      <xdr:spPr>
        <a:xfrm>
          <a:off x="1154430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550</xdr:row>
      <xdr:rowOff>0</xdr:rowOff>
    </xdr:from>
    <xdr:to>
      <xdr:col>45</xdr:col>
      <xdr:colOff>83820</xdr:colOff>
      <xdr:row>550</xdr:row>
      <xdr:rowOff>114300</xdr:rowOff>
    </xdr:to>
    <xdr:sp macro="" textlink="">
      <xdr:nvSpPr>
        <xdr:cNvPr id="4218" name="Arrow: Down 4217">
          <a:extLst>
            <a:ext uri="{FF2B5EF4-FFF2-40B4-BE49-F238E27FC236}">
              <a16:creationId xmlns:a16="http://schemas.microsoft.com/office/drawing/2014/main" id="{9973BB7B-8DE1-4770-97E1-0048E310429D}"/>
            </a:ext>
          </a:extLst>
        </xdr:cNvPr>
        <xdr:cNvSpPr/>
      </xdr:nvSpPr>
      <xdr:spPr>
        <a:xfrm>
          <a:off x="1340358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550</xdr:row>
      <xdr:rowOff>0</xdr:rowOff>
    </xdr:from>
    <xdr:to>
      <xdr:col>11</xdr:col>
      <xdr:colOff>83820</xdr:colOff>
      <xdr:row>550</xdr:row>
      <xdr:rowOff>114300</xdr:rowOff>
    </xdr:to>
    <xdr:sp macro="" textlink="">
      <xdr:nvSpPr>
        <xdr:cNvPr id="4219" name="Arrow: Down 4218">
          <a:extLst>
            <a:ext uri="{FF2B5EF4-FFF2-40B4-BE49-F238E27FC236}">
              <a16:creationId xmlns:a16="http://schemas.microsoft.com/office/drawing/2014/main" id="{B44C4AAF-784C-40C6-B5B7-296B5B0DC3B7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550</xdr:row>
      <xdr:rowOff>0</xdr:rowOff>
    </xdr:from>
    <xdr:to>
      <xdr:col>5</xdr:col>
      <xdr:colOff>83820</xdr:colOff>
      <xdr:row>550</xdr:row>
      <xdr:rowOff>114300</xdr:rowOff>
    </xdr:to>
    <xdr:sp macro="" textlink="">
      <xdr:nvSpPr>
        <xdr:cNvPr id="4220" name="Arrow: Down 4219">
          <a:extLst>
            <a:ext uri="{FF2B5EF4-FFF2-40B4-BE49-F238E27FC236}">
              <a16:creationId xmlns:a16="http://schemas.microsoft.com/office/drawing/2014/main" id="{D99FE29B-A377-4B1A-9380-95C7B6A97768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550</xdr:row>
      <xdr:rowOff>0</xdr:rowOff>
    </xdr:from>
    <xdr:to>
      <xdr:col>24</xdr:col>
      <xdr:colOff>83820</xdr:colOff>
      <xdr:row>550</xdr:row>
      <xdr:rowOff>114300</xdr:rowOff>
    </xdr:to>
    <xdr:sp macro="" textlink="">
      <xdr:nvSpPr>
        <xdr:cNvPr id="4221" name="Arrow: Down 4220">
          <a:extLst>
            <a:ext uri="{FF2B5EF4-FFF2-40B4-BE49-F238E27FC236}">
              <a16:creationId xmlns:a16="http://schemas.microsoft.com/office/drawing/2014/main" id="{B371870D-8FFF-48B3-A9FC-DE609F2BD257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550</xdr:row>
      <xdr:rowOff>0</xdr:rowOff>
    </xdr:from>
    <xdr:to>
      <xdr:col>71</xdr:col>
      <xdr:colOff>83820</xdr:colOff>
      <xdr:row>550</xdr:row>
      <xdr:rowOff>114300</xdr:rowOff>
    </xdr:to>
    <xdr:sp macro="" textlink="">
      <xdr:nvSpPr>
        <xdr:cNvPr id="4222" name="Arrow: Down 4221">
          <a:extLst>
            <a:ext uri="{FF2B5EF4-FFF2-40B4-BE49-F238E27FC236}">
              <a16:creationId xmlns:a16="http://schemas.microsoft.com/office/drawing/2014/main" id="{9706BD28-9250-4BE5-9E8F-755BE3CCA7F7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550</xdr:row>
      <xdr:rowOff>0</xdr:rowOff>
    </xdr:from>
    <xdr:to>
      <xdr:col>60</xdr:col>
      <xdr:colOff>83820</xdr:colOff>
      <xdr:row>550</xdr:row>
      <xdr:rowOff>114300</xdr:rowOff>
    </xdr:to>
    <xdr:sp macro="" textlink="">
      <xdr:nvSpPr>
        <xdr:cNvPr id="4223" name="Arrow: Down 4222">
          <a:extLst>
            <a:ext uri="{FF2B5EF4-FFF2-40B4-BE49-F238E27FC236}">
              <a16:creationId xmlns:a16="http://schemas.microsoft.com/office/drawing/2014/main" id="{7C0742A2-9B84-4D24-8FD3-D6261D965580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551</xdr:row>
      <xdr:rowOff>0</xdr:rowOff>
    </xdr:from>
    <xdr:to>
      <xdr:col>71</xdr:col>
      <xdr:colOff>83820</xdr:colOff>
      <xdr:row>551</xdr:row>
      <xdr:rowOff>114300</xdr:rowOff>
    </xdr:to>
    <xdr:sp macro="" textlink="">
      <xdr:nvSpPr>
        <xdr:cNvPr id="4007" name="Arrow: Down 4006">
          <a:extLst>
            <a:ext uri="{FF2B5EF4-FFF2-40B4-BE49-F238E27FC236}">
              <a16:creationId xmlns:a16="http://schemas.microsoft.com/office/drawing/2014/main" id="{3F1BE49C-664E-4E63-8E08-4E5B5356A736}"/>
            </a:ext>
          </a:extLst>
        </xdr:cNvPr>
        <xdr:cNvSpPr/>
      </xdr:nvSpPr>
      <xdr:spPr>
        <a:xfrm>
          <a:off x="2180082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551</xdr:row>
      <xdr:rowOff>0</xdr:rowOff>
    </xdr:from>
    <xdr:to>
      <xdr:col>60</xdr:col>
      <xdr:colOff>83820</xdr:colOff>
      <xdr:row>551</xdr:row>
      <xdr:rowOff>114300</xdr:rowOff>
    </xdr:to>
    <xdr:sp macro="" textlink="">
      <xdr:nvSpPr>
        <xdr:cNvPr id="4012" name="Arrow: Down 4011">
          <a:extLst>
            <a:ext uri="{FF2B5EF4-FFF2-40B4-BE49-F238E27FC236}">
              <a16:creationId xmlns:a16="http://schemas.microsoft.com/office/drawing/2014/main" id="{ECF28CC1-EF64-4075-B207-37D4239F7EB8}"/>
            </a:ext>
          </a:extLst>
        </xdr:cNvPr>
        <xdr:cNvSpPr/>
      </xdr:nvSpPr>
      <xdr:spPr>
        <a:xfrm>
          <a:off x="1908048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551</xdr:row>
      <xdr:rowOff>0</xdr:rowOff>
    </xdr:from>
    <xdr:to>
      <xdr:col>5</xdr:col>
      <xdr:colOff>83820</xdr:colOff>
      <xdr:row>551</xdr:row>
      <xdr:rowOff>114300</xdr:rowOff>
    </xdr:to>
    <xdr:sp macro="" textlink="">
      <xdr:nvSpPr>
        <xdr:cNvPr id="4014" name="Arrow: Down 4013">
          <a:extLst>
            <a:ext uri="{FF2B5EF4-FFF2-40B4-BE49-F238E27FC236}">
              <a16:creationId xmlns:a16="http://schemas.microsoft.com/office/drawing/2014/main" id="{3F8F07AF-2332-49C5-9E86-D5EBA5CFAE87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551</xdr:row>
      <xdr:rowOff>0</xdr:rowOff>
    </xdr:from>
    <xdr:to>
      <xdr:col>11</xdr:col>
      <xdr:colOff>83820</xdr:colOff>
      <xdr:row>551</xdr:row>
      <xdr:rowOff>114300</xdr:rowOff>
    </xdr:to>
    <xdr:sp macro="" textlink="">
      <xdr:nvSpPr>
        <xdr:cNvPr id="4024" name="Arrow: Down 4023">
          <a:extLst>
            <a:ext uri="{FF2B5EF4-FFF2-40B4-BE49-F238E27FC236}">
              <a16:creationId xmlns:a16="http://schemas.microsoft.com/office/drawing/2014/main" id="{F44222E8-E190-4856-858A-E189051B22F0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551</xdr:row>
      <xdr:rowOff>0</xdr:rowOff>
    </xdr:from>
    <xdr:to>
      <xdr:col>24</xdr:col>
      <xdr:colOff>83820</xdr:colOff>
      <xdr:row>551</xdr:row>
      <xdr:rowOff>114300</xdr:rowOff>
    </xdr:to>
    <xdr:sp macro="" textlink="">
      <xdr:nvSpPr>
        <xdr:cNvPr id="4031" name="Arrow: Down 4030">
          <a:extLst>
            <a:ext uri="{FF2B5EF4-FFF2-40B4-BE49-F238E27FC236}">
              <a16:creationId xmlns:a16="http://schemas.microsoft.com/office/drawing/2014/main" id="{808ABD74-60D9-4F58-9417-40A4F9A74C61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551</xdr:row>
      <xdr:rowOff>0</xdr:rowOff>
    </xdr:from>
    <xdr:to>
      <xdr:col>39</xdr:col>
      <xdr:colOff>83820</xdr:colOff>
      <xdr:row>551</xdr:row>
      <xdr:rowOff>114300</xdr:rowOff>
    </xdr:to>
    <xdr:sp macro="" textlink="">
      <xdr:nvSpPr>
        <xdr:cNvPr id="4036" name="Arrow: Down 4035">
          <a:extLst>
            <a:ext uri="{FF2B5EF4-FFF2-40B4-BE49-F238E27FC236}">
              <a16:creationId xmlns:a16="http://schemas.microsoft.com/office/drawing/2014/main" id="{0B9F704A-6FC6-4B48-A9BA-00EC399C4C2C}"/>
            </a:ext>
          </a:extLst>
        </xdr:cNvPr>
        <xdr:cNvSpPr/>
      </xdr:nvSpPr>
      <xdr:spPr>
        <a:xfrm rot="10800000">
          <a:off x="1154430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551</xdr:row>
      <xdr:rowOff>0</xdr:rowOff>
    </xdr:from>
    <xdr:to>
      <xdr:col>45</xdr:col>
      <xdr:colOff>83820</xdr:colOff>
      <xdr:row>551</xdr:row>
      <xdr:rowOff>114300</xdr:rowOff>
    </xdr:to>
    <xdr:sp macro="" textlink="">
      <xdr:nvSpPr>
        <xdr:cNvPr id="4039" name="Arrow: Down 4038">
          <a:extLst>
            <a:ext uri="{FF2B5EF4-FFF2-40B4-BE49-F238E27FC236}">
              <a16:creationId xmlns:a16="http://schemas.microsoft.com/office/drawing/2014/main" id="{D23D6EDF-CAF1-49C7-B4BA-84BD6F7DF86A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552</xdr:row>
      <xdr:rowOff>0</xdr:rowOff>
    </xdr:from>
    <xdr:to>
      <xdr:col>5</xdr:col>
      <xdr:colOff>83820</xdr:colOff>
      <xdr:row>552</xdr:row>
      <xdr:rowOff>114300</xdr:rowOff>
    </xdr:to>
    <xdr:sp macro="" textlink="">
      <xdr:nvSpPr>
        <xdr:cNvPr id="4042" name="Arrow: Down 4041">
          <a:extLst>
            <a:ext uri="{FF2B5EF4-FFF2-40B4-BE49-F238E27FC236}">
              <a16:creationId xmlns:a16="http://schemas.microsoft.com/office/drawing/2014/main" id="{1A85CC08-5086-4625-892F-4D5C8EC99DF4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552</xdr:row>
      <xdr:rowOff>0</xdr:rowOff>
    </xdr:from>
    <xdr:to>
      <xdr:col>11</xdr:col>
      <xdr:colOff>83820</xdr:colOff>
      <xdr:row>552</xdr:row>
      <xdr:rowOff>114300</xdr:rowOff>
    </xdr:to>
    <xdr:sp macro="" textlink="">
      <xdr:nvSpPr>
        <xdr:cNvPr id="4043" name="Arrow: Down 4042">
          <a:extLst>
            <a:ext uri="{FF2B5EF4-FFF2-40B4-BE49-F238E27FC236}">
              <a16:creationId xmlns:a16="http://schemas.microsoft.com/office/drawing/2014/main" id="{8DAC566F-0FAB-419B-A10C-2662851ABA42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552</xdr:row>
      <xdr:rowOff>0</xdr:rowOff>
    </xdr:from>
    <xdr:to>
      <xdr:col>24</xdr:col>
      <xdr:colOff>83820</xdr:colOff>
      <xdr:row>552</xdr:row>
      <xdr:rowOff>114300</xdr:rowOff>
    </xdr:to>
    <xdr:sp macro="" textlink="">
      <xdr:nvSpPr>
        <xdr:cNvPr id="4045" name="Arrow: Down 4044">
          <a:extLst>
            <a:ext uri="{FF2B5EF4-FFF2-40B4-BE49-F238E27FC236}">
              <a16:creationId xmlns:a16="http://schemas.microsoft.com/office/drawing/2014/main" id="{2CB62A4B-3110-4F79-B74D-D01F38C1D6B7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552</xdr:row>
      <xdr:rowOff>0</xdr:rowOff>
    </xdr:from>
    <xdr:to>
      <xdr:col>45</xdr:col>
      <xdr:colOff>83820</xdr:colOff>
      <xdr:row>552</xdr:row>
      <xdr:rowOff>114300</xdr:rowOff>
    </xdr:to>
    <xdr:sp macro="" textlink="">
      <xdr:nvSpPr>
        <xdr:cNvPr id="4050" name="Arrow: Down 4049">
          <a:extLst>
            <a:ext uri="{FF2B5EF4-FFF2-40B4-BE49-F238E27FC236}">
              <a16:creationId xmlns:a16="http://schemas.microsoft.com/office/drawing/2014/main" id="{47E98A70-4A59-46BF-9EF9-CFA36CBA9BBB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552</xdr:row>
      <xdr:rowOff>0</xdr:rowOff>
    </xdr:from>
    <xdr:to>
      <xdr:col>39</xdr:col>
      <xdr:colOff>83820</xdr:colOff>
      <xdr:row>552</xdr:row>
      <xdr:rowOff>114300</xdr:rowOff>
    </xdr:to>
    <xdr:sp macro="" textlink="">
      <xdr:nvSpPr>
        <xdr:cNvPr id="4054" name="Arrow: Down 4053">
          <a:extLst>
            <a:ext uri="{FF2B5EF4-FFF2-40B4-BE49-F238E27FC236}">
              <a16:creationId xmlns:a16="http://schemas.microsoft.com/office/drawing/2014/main" id="{966BD73A-0004-4A98-8DD1-D29AC35D1C3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552</xdr:row>
      <xdr:rowOff>0</xdr:rowOff>
    </xdr:from>
    <xdr:to>
      <xdr:col>71</xdr:col>
      <xdr:colOff>83820</xdr:colOff>
      <xdr:row>552</xdr:row>
      <xdr:rowOff>114300</xdr:rowOff>
    </xdr:to>
    <xdr:sp macro="" textlink="">
      <xdr:nvSpPr>
        <xdr:cNvPr id="4064" name="Arrow: Down 4063">
          <a:extLst>
            <a:ext uri="{FF2B5EF4-FFF2-40B4-BE49-F238E27FC236}">
              <a16:creationId xmlns:a16="http://schemas.microsoft.com/office/drawing/2014/main" id="{D4BC5CB7-4248-4C70-BBCD-8F65BC3A5471}"/>
            </a:ext>
          </a:extLst>
        </xdr:cNvPr>
        <xdr:cNvSpPr/>
      </xdr:nvSpPr>
      <xdr:spPr>
        <a:xfrm rot="10800000">
          <a:off x="2180082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552</xdr:row>
      <xdr:rowOff>0</xdr:rowOff>
    </xdr:from>
    <xdr:to>
      <xdr:col>60</xdr:col>
      <xdr:colOff>83820</xdr:colOff>
      <xdr:row>552</xdr:row>
      <xdr:rowOff>114300</xdr:rowOff>
    </xdr:to>
    <xdr:sp macro="" textlink="">
      <xdr:nvSpPr>
        <xdr:cNvPr id="4065" name="Arrow: Down 4064">
          <a:extLst>
            <a:ext uri="{FF2B5EF4-FFF2-40B4-BE49-F238E27FC236}">
              <a16:creationId xmlns:a16="http://schemas.microsoft.com/office/drawing/2014/main" id="{6082EED6-1106-402E-9F2A-0F6181428D11}"/>
            </a:ext>
          </a:extLst>
        </xdr:cNvPr>
        <xdr:cNvSpPr/>
      </xdr:nvSpPr>
      <xdr:spPr>
        <a:xfrm rot="10800000">
          <a:off x="190804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553</xdr:row>
      <xdr:rowOff>0</xdr:rowOff>
    </xdr:from>
    <xdr:to>
      <xdr:col>5</xdr:col>
      <xdr:colOff>83820</xdr:colOff>
      <xdr:row>553</xdr:row>
      <xdr:rowOff>114300</xdr:rowOff>
    </xdr:to>
    <xdr:sp macro="" textlink="">
      <xdr:nvSpPr>
        <xdr:cNvPr id="4066" name="Arrow: Down 4065">
          <a:extLst>
            <a:ext uri="{FF2B5EF4-FFF2-40B4-BE49-F238E27FC236}">
              <a16:creationId xmlns:a16="http://schemas.microsoft.com/office/drawing/2014/main" id="{70ECC618-381D-472D-984F-079C1FEB4E6C}"/>
            </a:ext>
          </a:extLst>
        </xdr:cNvPr>
        <xdr:cNvSpPr/>
      </xdr:nvSpPr>
      <xdr:spPr>
        <a:xfrm rot="10800000">
          <a:off x="192786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553</xdr:row>
      <xdr:rowOff>0</xdr:rowOff>
    </xdr:from>
    <xdr:to>
      <xdr:col>11</xdr:col>
      <xdr:colOff>83820</xdr:colOff>
      <xdr:row>553</xdr:row>
      <xdr:rowOff>114300</xdr:rowOff>
    </xdr:to>
    <xdr:sp macro="" textlink="">
      <xdr:nvSpPr>
        <xdr:cNvPr id="4067" name="Arrow: Down 4066">
          <a:extLst>
            <a:ext uri="{FF2B5EF4-FFF2-40B4-BE49-F238E27FC236}">
              <a16:creationId xmlns:a16="http://schemas.microsoft.com/office/drawing/2014/main" id="{FEE6291B-2EE2-48E8-93FC-04CEBC07A7F4}"/>
            </a:ext>
          </a:extLst>
        </xdr:cNvPr>
        <xdr:cNvSpPr/>
      </xdr:nvSpPr>
      <xdr:spPr>
        <a:xfrm rot="10800000">
          <a:off x="36957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553</xdr:row>
      <xdr:rowOff>0</xdr:rowOff>
    </xdr:from>
    <xdr:to>
      <xdr:col>24</xdr:col>
      <xdr:colOff>83820</xdr:colOff>
      <xdr:row>553</xdr:row>
      <xdr:rowOff>114300</xdr:rowOff>
    </xdr:to>
    <xdr:sp macro="" textlink="">
      <xdr:nvSpPr>
        <xdr:cNvPr id="4072" name="Arrow: Down 4071">
          <a:extLst>
            <a:ext uri="{FF2B5EF4-FFF2-40B4-BE49-F238E27FC236}">
              <a16:creationId xmlns:a16="http://schemas.microsoft.com/office/drawing/2014/main" id="{2E16F14F-42F8-41DB-99DF-24A821FB3234}"/>
            </a:ext>
          </a:extLst>
        </xdr:cNvPr>
        <xdr:cNvSpPr/>
      </xdr:nvSpPr>
      <xdr:spPr>
        <a:xfrm rot="10800000">
          <a:off x="83362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553</xdr:row>
      <xdr:rowOff>0</xdr:rowOff>
    </xdr:from>
    <xdr:to>
      <xdr:col>39</xdr:col>
      <xdr:colOff>83820</xdr:colOff>
      <xdr:row>553</xdr:row>
      <xdr:rowOff>114300</xdr:rowOff>
    </xdr:to>
    <xdr:sp macro="" textlink="">
      <xdr:nvSpPr>
        <xdr:cNvPr id="4079" name="Arrow: Down 4078">
          <a:extLst>
            <a:ext uri="{FF2B5EF4-FFF2-40B4-BE49-F238E27FC236}">
              <a16:creationId xmlns:a16="http://schemas.microsoft.com/office/drawing/2014/main" id="{A468932E-39CE-448F-8652-7234889711C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553</xdr:row>
      <xdr:rowOff>0</xdr:rowOff>
    </xdr:from>
    <xdr:to>
      <xdr:col>45</xdr:col>
      <xdr:colOff>83820</xdr:colOff>
      <xdr:row>553</xdr:row>
      <xdr:rowOff>114300</xdr:rowOff>
    </xdr:to>
    <xdr:sp macro="" textlink="">
      <xdr:nvSpPr>
        <xdr:cNvPr id="4089" name="Arrow: Down 4088">
          <a:extLst>
            <a:ext uri="{FF2B5EF4-FFF2-40B4-BE49-F238E27FC236}">
              <a16:creationId xmlns:a16="http://schemas.microsoft.com/office/drawing/2014/main" id="{41728D4F-67EF-4FF6-9486-59B1D355E75B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553</xdr:row>
      <xdr:rowOff>0</xdr:rowOff>
    </xdr:from>
    <xdr:to>
      <xdr:col>71</xdr:col>
      <xdr:colOff>83820</xdr:colOff>
      <xdr:row>553</xdr:row>
      <xdr:rowOff>114300</xdr:rowOff>
    </xdr:to>
    <xdr:sp macro="" textlink="">
      <xdr:nvSpPr>
        <xdr:cNvPr id="4093" name="Arrow: Down 4092">
          <a:extLst>
            <a:ext uri="{FF2B5EF4-FFF2-40B4-BE49-F238E27FC236}">
              <a16:creationId xmlns:a16="http://schemas.microsoft.com/office/drawing/2014/main" id="{527C66CF-7B95-4FE6-A765-48315CE90450}"/>
            </a:ext>
          </a:extLst>
        </xdr:cNvPr>
        <xdr:cNvSpPr/>
      </xdr:nvSpPr>
      <xdr:spPr>
        <a:xfrm>
          <a:off x="2180082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553</xdr:row>
      <xdr:rowOff>0</xdr:rowOff>
    </xdr:from>
    <xdr:to>
      <xdr:col>60</xdr:col>
      <xdr:colOff>83820</xdr:colOff>
      <xdr:row>553</xdr:row>
      <xdr:rowOff>114300</xdr:rowOff>
    </xdr:to>
    <xdr:sp macro="" textlink="">
      <xdr:nvSpPr>
        <xdr:cNvPr id="4095" name="Arrow: Down 4094">
          <a:extLst>
            <a:ext uri="{FF2B5EF4-FFF2-40B4-BE49-F238E27FC236}">
              <a16:creationId xmlns:a16="http://schemas.microsoft.com/office/drawing/2014/main" id="{B8505BFA-9AE4-472C-829D-E94464CD8377}"/>
            </a:ext>
          </a:extLst>
        </xdr:cNvPr>
        <xdr:cNvSpPr/>
      </xdr:nvSpPr>
      <xdr:spPr>
        <a:xfrm>
          <a:off x="1908048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554</xdr:row>
      <xdr:rowOff>0</xdr:rowOff>
    </xdr:from>
    <xdr:to>
      <xdr:col>39</xdr:col>
      <xdr:colOff>83820</xdr:colOff>
      <xdr:row>554</xdr:row>
      <xdr:rowOff>114300</xdr:rowOff>
    </xdr:to>
    <xdr:sp macro="" textlink="">
      <xdr:nvSpPr>
        <xdr:cNvPr id="4113" name="Arrow: Down 4112">
          <a:extLst>
            <a:ext uri="{FF2B5EF4-FFF2-40B4-BE49-F238E27FC236}">
              <a16:creationId xmlns:a16="http://schemas.microsoft.com/office/drawing/2014/main" id="{55A205CE-F9E9-4248-8F88-99A5925274DE}"/>
            </a:ext>
          </a:extLst>
        </xdr:cNvPr>
        <xdr:cNvSpPr/>
      </xdr:nvSpPr>
      <xdr:spPr>
        <a:xfrm>
          <a:off x="1154430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554</xdr:row>
      <xdr:rowOff>0</xdr:rowOff>
    </xdr:from>
    <xdr:to>
      <xdr:col>45</xdr:col>
      <xdr:colOff>83820</xdr:colOff>
      <xdr:row>554</xdr:row>
      <xdr:rowOff>114300</xdr:rowOff>
    </xdr:to>
    <xdr:sp macro="" textlink="">
      <xdr:nvSpPr>
        <xdr:cNvPr id="4114" name="Arrow: Down 4113">
          <a:extLst>
            <a:ext uri="{FF2B5EF4-FFF2-40B4-BE49-F238E27FC236}">
              <a16:creationId xmlns:a16="http://schemas.microsoft.com/office/drawing/2014/main" id="{67FC6698-22A9-4B02-8595-04D83D68CEBA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554</xdr:row>
      <xdr:rowOff>0</xdr:rowOff>
    </xdr:from>
    <xdr:to>
      <xdr:col>60</xdr:col>
      <xdr:colOff>83820</xdr:colOff>
      <xdr:row>554</xdr:row>
      <xdr:rowOff>114300</xdr:rowOff>
    </xdr:to>
    <xdr:sp macro="" textlink="">
      <xdr:nvSpPr>
        <xdr:cNvPr id="4120" name="Arrow: Down 4119">
          <a:extLst>
            <a:ext uri="{FF2B5EF4-FFF2-40B4-BE49-F238E27FC236}">
              <a16:creationId xmlns:a16="http://schemas.microsoft.com/office/drawing/2014/main" id="{70FF43D8-8323-47EC-8B1F-7400EDE17E86}"/>
            </a:ext>
          </a:extLst>
        </xdr:cNvPr>
        <xdr:cNvSpPr/>
      </xdr:nvSpPr>
      <xdr:spPr>
        <a:xfrm rot="10800000">
          <a:off x="190804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554</xdr:row>
      <xdr:rowOff>0</xdr:rowOff>
    </xdr:from>
    <xdr:to>
      <xdr:col>71</xdr:col>
      <xdr:colOff>83820</xdr:colOff>
      <xdr:row>554</xdr:row>
      <xdr:rowOff>114300</xdr:rowOff>
    </xdr:to>
    <xdr:sp macro="" textlink="">
      <xdr:nvSpPr>
        <xdr:cNvPr id="4122" name="Arrow: Down 4121">
          <a:extLst>
            <a:ext uri="{FF2B5EF4-FFF2-40B4-BE49-F238E27FC236}">
              <a16:creationId xmlns:a16="http://schemas.microsoft.com/office/drawing/2014/main" id="{CD77488B-C13A-4B1A-95C3-60ABE6EE9274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554</xdr:row>
      <xdr:rowOff>0</xdr:rowOff>
    </xdr:from>
    <xdr:to>
      <xdr:col>5</xdr:col>
      <xdr:colOff>83820</xdr:colOff>
      <xdr:row>554</xdr:row>
      <xdr:rowOff>114300</xdr:rowOff>
    </xdr:to>
    <xdr:sp macro="" textlink="">
      <xdr:nvSpPr>
        <xdr:cNvPr id="4127" name="Arrow: Down 4126">
          <a:extLst>
            <a:ext uri="{FF2B5EF4-FFF2-40B4-BE49-F238E27FC236}">
              <a16:creationId xmlns:a16="http://schemas.microsoft.com/office/drawing/2014/main" id="{EC554AE6-41BE-4CC9-9DB9-A519195F0FB0}"/>
            </a:ext>
          </a:extLst>
        </xdr:cNvPr>
        <xdr:cNvSpPr/>
      </xdr:nvSpPr>
      <xdr:spPr>
        <a:xfrm>
          <a:off x="192786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554</xdr:row>
      <xdr:rowOff>0</xdr:rowOff>
    </xdr:from>
    <xdr:to>
      <xdr:col>11</xdr:col>
      <xdr:colOff>83820</xdr:colOff>
      <xdr:row>554</xdr:row>
      <xdr:rowOff>114300</xdr:rowOff>
    </xdr:to>
    <xdr:sp macro="" textlink="">
      <xdr:nvSpPr>
        <xdr:cNvPr id="4131" name="Arrow: Down 4130">
          <a:extLst>
            <a:ext uri="{FF2B5EF4-FFF2-40B4-BE49-F238E27FC236}">
              <a16:creationId xmlns:a16="http://schemas.microsoft.com/office/drawing/2014/main" id="{1F7CC743-FD1F-4F0C-8BBA-32F377D87D71}"/>
            </a:ext>
          </a:extLst>
        </xdr:cNvPr>
        <xdr:cNvSpPr/>
      </xdr:nvSpPr>
      <xdr:spPr>
        <a:xfrm>
          <a:off x="369570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554</xdr:row>
      <xdr:rowOff>0</xdr:rowOff>
    </xdr:from>
    <xdr:to>
      <xdr:col>24</xdr:col>
      <xdr:colOff>83820</xdr:colOff>
      <xdr:row>554</xdr:row>
      <xdr:rowOff>114300</xdr:rowOff>
    </xdr:to>
    <xdr:sp macro="" textlink="">
      <xdr:nvSpPr>
        <xdr:cNvPr id="4132" name="Arrow: Down 4131">
          <a:extLst>
            <a:ext uri="{FF2B5EF4-FFF2-40B4-BE49-F238E27FC236}">
              <a16:creationId xmlns:a16="http://schemas.microsoft.com/office/drawing/2014/main" id="{E60CA56D-1493-4347-9416-BC635B9A8D2E}"/>
            </a:ext>
          </a:extLst>
        </xdr:cNvPr>
        <xdr:cNvSpPr/>
      </xdr:nvSpPr>
      <xdr:spPr>
        <a:xfrm>
          <a:off x="833628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555</xdr:row>
      <xdr:rowOff>0</xdr:rowOff>
    </xdr:from>
    <xdr:to>
      <xdr:col>45</xdr:col>
      <xdr:colOff>83820</xdr:colOff>
      <xdr:row>555</xdr:row>
      <xdr:rowOff>114300</xdr:rowOff>
    </xdr:to>
    <xdr:sp macro="" textlink="">
      <xdr:nvSpPr>
        <xdr:cNvPr id="4134" name="Arrow: Down 4133">
          <a:extLst>
            <a:ext uri="{FF2B5EF4-FFF2-40B4-BE49-F238E27FC236}">
              <a16:creationId xmlns:a16="http://schemas.microsoft.com/office/drawing/2014/main" id="{E5E859B1-7ED9-4C6D-A482-147365F8E72A}"/>
            </a:ext>
          </a:extLst>
        </xdr:cNvPr>
        <xdr:cNvSpPr/>
      </xdr:nvSpPr>
      <xdr:spPr>
        <a:xfrm>
          <a:off x="134035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555</xdr:row>
      <xdr:rowOff>0</xdr:rowOff>
    </xdr:from>
    <xdr:to>
      <xdr:col>71</xdr:col>
      <xdr:colOff>83820</xdr:colOff>
      <xdr:row>555</xdr:row>
      <xdr:rowOff>114300</xdr:rowOff>
    </xdr:to>
    <xdr:sp macro="" textlink="">
      <xdr:nvSpPr>
        <xdr:cNvPr id="4136" name="Arrow: Down 4135">
          <a:extLst>
            <a:ext uri="{FF2B5EF4-FFF2-40B4-BE49-F238E27FC236}">
              <a16:creationId xmlns:a16="http://schemas.microsoft.com/office/drawing/2014/main" id="{9DEC84D2-EDAA-4BF6-8906-E971F460E2A7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555</xdr:row>
      <xdr:rowOff>0</xdr:rowOff>
    </xdr:from>
    <xdr:to>
      <xdr:col>60</xdr:col>
      <xdr:colOff>83820</xdr:colOff>
      <xdr:row>555</xdr:row>
      <xdr:rowOff>114300</xdr:rowOff>
    </xdr:to>
    <xdr:sp macro="" textlink="">
      <xdr:nvSpPr>
        <xdr:cNvPr id="4143" name="Arrow: Down 4142">
          <a:extLst>
            <a:ext uri="{FF2B5EF4-FFF2-40B4-BE49-F238E27FC236}">
              <a16:creationId xmlns:a16="http://schemas.microsoft.com/office/drawing/2014/main" id="{4D71918D-964F-47DF-BA5C-DD664EC16FC9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555</xdr:row>
      <xdr:rowOff>0</xdr:rowOff>
    </xdr:from>
    <xdr:to>
      <xdr:col>39</xdr:col>
      <xdr:colOff>83820</xdr:colOff>
      <xdr:row>555</xdr:row>
      <xdr:rowOff>114300</xdr:rowOff>
    </xdr:to>
    <xdr:sp macro="" textlink="">
      <xdr:nvSpPr>
        <xdr:cNvPr id="4159" name="Arrow: Down 4158">
          <a:extLst>
            <a:ext uri="{FF2B5EF4-FFF2-40B4-BE49-F238E27FC236}">
              <a16:creationId xmlns:a16="http://schemas.microsoft.com/office/drawing/2014/main" id="{378ADFED-301B-409F-BEEC-0FB6180CA257}"/>
            </a:ext>
          </a:extLst>
        </xdr:cNvPr>
        <xdr:cNvSpPr/>
      </xdr:nvSpPr>
      <xdr:spPr>
        <a:xfrm rot="10800000">
          <a:off x="1154430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555</xdr:row>
      <xdr:rowOff>0</xdr:rowOff>
    </xdr:from>
    <xdr:to>
      <xdr:col>11</xdr:col>
      <xdr:colOff>83820</xdr:colOff>
      <xdr:row>555</xdr:row>
      <xdr:rowOff>114300</xdr:rowOff>
    </xdr:to>
    <xdr:sp macro="" textlink="">
      <xdr:nvSpPr>
        <xdr:cNvPr id="4165" name="Arrow: Down 4164">
          <a:extLst>
            <a:ext uri="{FF2B5EF4-FFF2-40B4-BE49-F238E27FC236}">
              <a16:creationId xmlns:a16="http://schemas.microsoft.com/office/drawing/2014/main" id="{5706A1C2-A246-44EF-8BE9-B77A61454822}"/>
            </a:ext>
          </a:extLst>
        </xdr:cNvPr>
        <xdr:cNvSpPr/>
      </xdr:nvSpPr>
      <xdr:spPr>
        <a:xfrm rot="10800000">
          <a:off x="369570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555</xdr:row>
      <xdr:rowOff>0</xdr:rowOff>
    </xdr:from>
    <xdr:to>
      <xdr:col>5</xdr:col>
      <xdr:colOff>83820</xdr:colOff>
      <xdr:row>555</xdr:row>
      <xdr:rowOff>114300</xdr:rowOff>
    </xdr:to>
    <xdr:sp macro="" textlink="">
      <xdr:nvSpPr>
        <xdr:cNvPr id="4167" name="Arrow: Down 4166">
          <a:extLst>
            <a:ext uri="{FF2B5EF4-FFF2-40B4-BE49-F238E27FC236}">
              <a16:creationId xmlns:a16="http://schemas.microsoft.com/office/drawing/2014/main" id="{BC5C8D3F-7BD5-42C1-B1B4-90EC0FA704AA}"/>
            </a:ext>
          </a:extLst>
        </xdr:cNvPr>
        <xdr:cNvSpPr/>
      </xdr:nvSpPr>
      <xdr:spPr>
        <a:xfrm rot="10800000">
          <a:off x="192786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555</xdr:row>
      <xdr:rowOff>0</xdr:rowOff>
    </xdr:from>
    <xdr:to>
      <xdr:col>24</xdr:col>
      <xdr:colOff>83820</xdr:colOff>
      <xdr:row>555</xdr:row>
      <xdr:rowOff>114300</xdr:rowOff>
    </xdr:to>
    <xdr:sp macro="" textlink="">
      <xdr:nvSpPr>
        <xdr:cNvPr id="4168" name="Arrow: Down 4167">
          <a:extLst>
            <a:ext uri="{FF2B5EF4-FFF2-40B4-BE49-F238E27FC236}">
              <a16:creationId xmlns:a16="http://schemas.microsoft.com/office/drawing/2014/main" id="{0B1756DC-8F65-476C-BD5B-BF1FBBD1E003}"/>
            </a:ext>
          </a:extLst>
        </xdr:cNvPr>
        <xdr:cNvSpPr/>
      </xdr:nvSpPr>
      <xdr:spPr>
        <a:xfrm rot="10800000">
          <a:off x="83362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556</xdr:row>
      <xdr:rowOff>0</xdr:rowOff>
    </xdr:from>
    <xdr:to>
      <xdr:col>45</xdr:col>
      <xdr:colOff>83820</xdr:colOff>
      <xdr:row>556</xdr:row>
      <xdr:rowOff>114300</xdr:rowOff>
    </xdr:to>
    <xdr:sp macro="" textlink="">
      <xdr:nvSpPr>
        <xdr:cNvPr id="4175" name="Arrow: Down 4174">
          <a:extLst>
            <a:ext uri="{FF2B5EF4-FFF2-40B4-BE49-F238E27FC236}">
              <a16:creationId xmlns:a16="http://schemas.microsoft.com/office/drawing/2014/main" id="{D8D76B3A-BDC5-474D-9935-E38935BFD452}"/>
            </a:ext>
          </a:extLst>
        </xdr:cNvPr>
        <xdr:cNvSpPr/>
      </xdr:nvSpPr>
      <xdr:spPr>
        <a:xfrm>
          <a:off x="134035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556</xdr:row>
      <xdr:rowOff>0</xdr:rowOff>
    </xdr:from>
    <xdr:to>
      <xdr:col>60</xdr:col>
      <xdr:colOff>83820</xdr:colOff>
      <xdr:row>556</xdr:row>
      <xdr:rowOff>114300</xdr:rowOff>
    </xdr:to>
    <xdr:sp macro="" textlink="">
      <xdr:nvSpPr>
        <xdr:cNvPr id="4177" name="Arrow: Down 4176">
          <a:extLst>
            <a:ext uri="{FF2B5EF4-FFF2-40B4-BE49-F238E27FC236}">
              <a16:creationId xmlns:a16="http://schemas.microsoft.com/office/drawing/2014/main" id="{3F389269-C5B1-4999-8F76-3E8C04E5958A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556</xdr:row>
      <xdr:rowOff>0</xdr:rowOff>
    </xdr:from>
    <xdr:to>
      <xdr:col>71</xdr:col>
      <xdr:colOff>83820</xdr:colOff>
      <xdr:row>556</xdr:row>
      <xdr:rowOff>114300</xdr:rowOff>
    </xdr:to>
    <xdr:sp macro="" textlink="">
      <xdr:nvSpPr>
        <xdr:cNvPr id="4201" name="Arrow: Down 4200">
          <a:extLst>
            <a:ext uri="{FF2B5EF4-FFF2-40B4-BE49-F238E27FC236}">
              <a16:creationId xmlns:a16="http://schemas.microsoft.com/office/drawing/2014/main" id="{49B1028B-5DDB-45FF-943A-681D59E6C9F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556</xdr:row>
      <xdr:rowOff>0</xdr:rowOff>
    </xdr:from>
    <xdr:to>
      <xdr:col>39</xdr:col>
      <xdr:colOff>83820</xdr:colOff>
      <xdr:row>556</xdr:row>
      <xdr:rowOff>114300</xdr:rowOff>
    </xdr:to>
    <xdr:sp macro="" textlink="">
      <xdr:nvSpPr>
        <xdr:cNvPr id="4202" name="Arrow: Down 4201">
          <a:extLst>
            <a:ext uri="{FF2B5EF4-FFF2-40B4-BE49-F238E27FC236}">
              <a16:creationId xmlns:a16="http://schemas.microsoft.com/office/drawing/2014/main" id="{731A0293-0F57-4330-96CA-D757A6BC989E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556</xdr:row>
      <xdr:rowOff>0</xdr:rowOff>
    </xdr:from>
    <xdr:to>
      <xdr:col>11</xdr:col>
      <xdr:colOff>83820</xdr:colOff>
      <xdr:row>556</xdr:row>
      <xdr:rowOff>114300</xdr:rowOff>
    </xdr:to>
    <xdr:sp macro="" textlink="">
      <xdr:nvSpPr>
        <xdr:cNvPr id="4204" name="Arrow: Down 4203">
          <a:extLst>
            <a:ext uri="{FF2B5EF4-FFF2-40B4-BE49-F238E27FC236}">
              <a16:creationId xmlns:a16="http://schemas.microsoft.com/office/drawing/2014/main" id="{1960AC75-15F9-480C-AE2D-16F99995052D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556</xdr:row>
      <xdr:rowOff>0</xdr:rowOff>
    </xdr:from>
    <xdr:to>
      <xdr:col>5</xdr:col>
      <xdr:colOff>83820</xdr:colOff>
      <xdr:row>556</xdr:row>
      <xdr:rowOff>114300</xdr:rowOff>
    </xdr:to>
    <xdr:sp macro="" textlink="">
      <xdr:nvSpPr>
        <xdr:cNvPr id="4206" name="Arrow: Down 4205">
          <a:extLst>
            <a:ext uri="{FF2B5EF4-FFF2-40B4-BE49-F238E27FC236}">
              <a16:creationId xmlns:a16="http://schemas.microsoft.com/office/drawing/2014/main" id="{2D65D0F2-B9BD-48E8-B567-C301FFD89F27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557</xdr:row>
      <xdr:rowOff>0</xdr:rowOff>
    </xdr:from>
    <xdr:to>
      <xdr:col>45</xdr:col>
      <xdr:colOff>83820</xdr:colOff>
      <xdr:row>557</xdr:row>
      <xdr:rowOff>114300</xdr:rowOff>
    </xdr:to>
    <xdr:sp macro="" textlink="">
      <xdr:nvSpPr>
        <xdr:cNvPr id="4228" name="Arrow: Down 4227">
          <a:extLst>
            <a:ext uri="{FF2B5EF4-FFF2-40B4-BE49-F238E27FC236}">
              <a16:creationId xmlns:a16="http://schemas.microsoft.com/office/drawing/2014/main" id="{66054BC6-88DB-4584-B8DF-8A2E68C13922}"/>
            </a:ext>
          </a:extLst>
        </xdr:cNvPr>
        <xdr:cNvSpPr/>
      </xdr:nvSpPr>
      <xdr:spPr>
        <a:xfrm>
          <a:off x="1340358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557</xdr:row>
      <xdr:rowOff>0</xdr:rowOff>
    </xdr:from>
    <xdr:to>
      <xdr:col>60</xdr:col>
      <xdr:colOff>83820</xdr:colOff>
      <xdr:row>557</xdr:row>
      <xdr:rowOff>114300</xdr:rowOff>
    </xdr:to>
    <xdr:sp macro="" textlink="">
      <xdr:nvSpPr>
        <xdr:cNvPr id="4229" name="Arrow: Down 4228">
          <a:extLst>
            <a:ext uri="{FF2B5EF4-FFF2-40B4-BE49-F238E27FC236}">
              <a16:creationId xmlns:a16="http://schemas.microsoft.com/office/drawing/2014/main" id="{19FA6589-3F53-48C7-B392-ACCD9A75B83B}"/>
            </a:ext>
          </a:extLst>
        </xdr:cNvPr>
        <xdr:cNvSpPr/>
      </xdr:nvSpPr>
      <xdr:spPr>
        <a:xfrm>
          <a:off x="190804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557</xdr:row>
      <xdr:rowOff>0</xdr:rowOff>
    </xdr:from>
    <xdr:to>
      <xdr:col>71</xdr:col>
      <xdr:colOff>83820</xdr:colOff>
      <xdr:row>557</xdr:row>
      <xdr:rowOff>114300</xdr:rowOff>
    </xdr:to>
    <xdr:sp macro="" textlink="">
      <xdr:nvSpPr>
        <xdr:cNvPr id="4230" name="Arrow: Down 4229">
          <a:extLst>
            <a:ext uri="{FF2B5EF4-FFF2-40B4-BE49-F238E27FC236}">
              <a16:creationId xmlns:a16="http://schemas.microsoft.com/office/drawing/2014/main" id="{5E200F6D-0E53-4F05-B26C-9B6F3FFBF13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557</xdr:row>
      <xdr:rowOff>0</xdr:rowOff>
    </xdr:from>
    <xdr:to>
      <xdr:col>39</xdr:col>
      <xdr:colOff>83820</xdr:colOff>
      <xdr:row>557</xdr:row>
      <xdr:rowOff>114300</xdr:rowOff>
    </xdr:to>
    <xdr:sp macro="" textlink="">
      <xdr:nvSpPr>
        <xdr:cNvPr id="4231" name="Arrow: Down 4230">
          <a:extLst>
            <a:ext uri="{FF2B5EF4-FFF2-40B4-BE49-F238E27FC236}">
              <a16:creationId xmlns:a16="http://schemas.microsoft.com/office/drawing/2014/main" id="{9821263A-2470-4C9B-83D1-039248F4E671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557</xdr:row>
      <xdr:rowOff>0</xdr:rowOff>
    </xdr:from>
    <xdr:to>
      <xdr:col>11</xdr:col>
      <xdr:colOff>83820</xdr:colOff>
      <xdr:row>557</xdr:row>
      <xdr:rowOff>114300</xdr:rowOff>
    </xdr:to>
    <xdr:sp macro="" textlink="">
      <xdr:nvSpPr>
        <xdr:cNvPr id="4232" name="Arrow: Down 4231">
          <a:extLst>
            <a:ext uri="{FF2B5EF4-FFF2-40B4-BE49-F238E27FC236}">
              <a16:creationId xmlns:a16="http://schemas.microsoft.com/office/drawing/2014/main" id="{AE35C4D6-2468-4F1E-87EB-D6DA881410D0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557</xdr:row>
      <xdr:rowOff>0</xdr:rowOff>
    </xdr:from>
    <xdr:to>
      <xdr:col>5</xdr:col>
      <xdr:colOff>83820</xdr:colOff>
      <xdr:row>557</xdr:row>
      <xdr:rowOff>114300</xdr:rowOff>
    </xdr:to>
    <xdr:sp macro="" textlink="">
      <xdr:nvSpPr>
        <xdr:cNvPr id="4233" name="Arrow: Down 4232">
          <a:extLst>
            <a:ext uri="{FF2B5EF4-FFF2-40B4-BE49-F238E27FC236}">
              <a16:creationId xmlns:a16="http://schemas.microsoft.com/office/drawing/2014/main" id="{C0F00F2D-1EC2-469F-A92A-DE987E9BF31B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556</xdr:row>
      <xdr:rowOff>0</xdr:rowOff>
    </xdr:from>
    <xdr:to>
      <xdr:col>24</xdr:col>
      <xdr:colOff>83820</xdr:colOff>
      <xdr:row>556</xdr:row>
      <xdr:rowOff>114300</xdr:rowOff>
    </xdr:to>
    <xdr:sp macro="" textlink="">
      <xdr:nvSpPr>
        <xdr:cNvPr id="4234" name="Arrow: Down 4233">
          <a:extLst>
            <a:ext uri="{FF2B5EF4-FFF2-40B4-BE49-F238E27FC236}">
              <a16:creationId xmlns:a16="http://schemas.microsoft.com/office/drawing/2014/main" id="{B3F69D1D-5579-4AA7-A54B-F620EE34FC90}"/>
            </a:ext>
          </a:extLst>
        </xdr:cNvPr>
        <xdr:cNvSpPr/>
      </xdr:nvSpPr>
      <xdr:spPr>
        <a:xfrm>
          <a:off x="83362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557</xdr:row>
      <xdr:rowOff>0</xdr:rowOff>
    </xdr:from>
    <xdr:to>
      <xdr:col>24</xdr:col>
      <xdr:colOff>83820</xdr:colOff>
      <xdr:row>557</xdr:row>
      <xdr:rowOff>114300</xdr:rowOff>
    </xdr:to>
    <xdr:sp macro="" textlink="">
      <xdr:nvSpPr>
        <xdr:cNvPr id="4235" name="Arrow: Down 4234">
          <a:extLst>
            <a:ext uri="{FF2B5EF4-FFF2-40B4-BE49-F238E27FC236}">
              <a16:creationId xmlns:a16="http://schemas.microsoft.com/office/drawing/2014/main" id="{1E3160F6-B9B0-4957-BACB-EA02FF61D126}"/>
            </a:ext>
          </a:extLst>
        </xdr:cNvPr>
        <xdr:cNvSpPr/>
      </xdr:nvSpPr>
      <xdr:spPr>
        <a:xfrm>
          <a:off x="83362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558</xdr:row>
      <xdr:rowOff>0</xdr:rowOff>
    </xdr:from>
    <xdr:to>
      <xdr:col>60</xdr:col>
      <xdr:colOff>83820</xdr:colOff>
      <xdr:row>558</xdr:row>
      <xdr:rowOff>114300</xdr:rowOff>
    </xdr:to>
    <xdr:sp macro="" textlink="">
      <xdr:nvSpPr>
        <xdr:cNvPr id="3988" name="Arrow: Down 3987">
          <a:extLst>
            <a:ext uri="{FF2B5EF4-FFF2-40B4-BE49-F238E27FC236}">
              <a16:creationId xmlns:a16="http://schemas.microsoft.com/office/drawing/2014/main" id="{3500C353-D6C7-4F7E-BE93-680DD74F64CD}"/>
            </a:ext>
          </a:extLst>
        </xdr:cNvPr>
        <xdr:cNvSpPr/>
      </xdr:nvSpPr>
      <xdr:spPr>
        <a:xfrm>
          <a:off x="190804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558</xdr:row>
      <xdr:rowOff>0</xdr:rowOff>
    </xdr:from>
    <xdr:to>
      <xdr:col>71</xdr:col>
      <xdr:colOff>83820</xdr:colOff>
      <xdr:row>558</xdr:row>
      <xdr:rowOff>114300</xdr:rowOff>
    </xdr:to>
    <xdr:sp macro="" textlink="">
      <xdr:nvSpPr>
        <xdr:cNvPr id="4023" name="Arrow: Down 4022">
          <a:extLst>
            <a:ext uri="{FF2B5EF4-FFF2-40B4-BE49-F238E27FC236}">
              <a16:creationId xmlns:a16="http://schemas.microsoft.com/office/drawing/2014/main" id="{309F210D-FC43-4EA8-9241-C5939EE28E31}"/>
            </a:ext>
          </a:extLst>
        </xdr:cNvPr>
        <xdr:cNvSpPr/>
      </xdr:nvSpPr>
      <xdr:spPr>
        <a:xfrm>
          <a:off x="2180082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558</xdr:row>
      <xdr:rowOff>0</xdr:rowOff>
    </xdr:from>
    <xdr:to>
      <xdr:col>39</xdr:col>
      <xdr:colOff>83820</xdr:colOff>
      <xdr:row>558</xdr:row>
      <xdr:rowOff>114300</xdr:rowOff>
    </xdr:to>
    <xdr:sp macro="" textlink="">
      <xdr:nvSpPr>
        <xdr:cNvPr id="4025" name="Arrow: Down 4024">
          <a:extLst>
            <a:ext uri="{FF2B5EF4-FFF2-40B4-BE49-F238E27FC236}">
              <a16:creationId xmlns:a16="http://schemas.microsoft.com/office/drawing/2014/main" id="{C8B2505B-447F-4733-9768-E256271CCB17}"/>
            </a:ext>
          </a:extLst>
        </xdr:cNvPr>
        <xdr:cNvSpPr/>
      </xdr:nvSpPr>
      <xdr:spPr>
        <a:xfrm>
          <a:off x="11544300" y="10196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558</xdr:row>
      <xdr:rowOff>0</xdr:rowOff>
    </xdr:from>
    <xdr:to>
      <xdr:col>45</xdr:col>
      <xdr:colOff>83820</xdr:colOff>
      <xdr:row>558</xdr:row>
      <xdr:rowOff>114300</xdr:rowOff>
    </xdr:to>
    <xdr:sp macro="" textlink="">
      <xdr:nvSpPr>
        <xdr:cNvPr id="4048" name="Arrow: Down 4047">
          <a:extLst>
            <a:ext uri="{FF2B5EF4-FFF2-40B4-BE49-F238E27FC236}">
              <a16:creationId xmlns:a16="http://schemas.microsoft.com/office/drawing/2014/main" id="{61AC0E1F-D13A-42D4-853A-096FD42C7EB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558</xdr:row>
      <xdr:rowOff>0</xdr:rowOff>
    </xdr:from>
    <xdr:to>
      <xdr:col>11</xdr:col>
      <xdr:colOff>83820</xdr:colOff>
      <xdr:row>558</xdr:row>
      <xdr:rowOff>114300</xdr:rowOff>
    </xdr:to>
    <xdr:sp macro="" textlink="">
      <xdr:nvSpPr>
        <xdr:cNvPr id="4087" name="Arrow: Down 4086">
          <a:extLst>
            <a:ext uri="{FF2B5EF4-FFF2-40B4-BE49-F238E27FC236}">
              <a16:creationId xmlns:a16="http://schemas.microsoft.com/office/drawing/2014/main" id="{EBBC01CE-9805-4464-ABB3-11AD056E44CD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558</xdr:row>
      <xdr:rowOff>0</xdr:rowOff>
    </xdr:from>
    <xdr:to>
      <xdr:col>5</xdr:col>
      <xdr:colOff>83820</xdr:colOff>
      <xdr:row>558</xdr:row>
      <xdr:rowOff>114300</xdr:rowOff>
    </xdr:to>
    <xdr:sp macro="" textlink="">
      <xdr:nvSpPr>
        <xdr:cNvPr id="4094" name="Arrow: Down 4093">
          <a:extLst>
            <a:ext uri="{FF2B5EF4-FFF2-40B4-BE49-F238E27FC236}">
              <a16:creationId xmlns:a16="http://schemas.microsoft.com/office/drawing/2014/main" id="{1ACFE65F-B761-4517-B88E-A2A61D4ECB5F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558</xdr:row>
      <xdr:rowOff>0</xdr:rowOff>
    </xdr:from>
    <xdr:to>
      <xdr:col>24</xdr:col>
      <xdr:colOff>83820</xdr:colOff>
      <xdr:row>558</xdr:row>
      <xdr:rowOff>114300</xdr:rowOff>
    </xdr:to>
    <xdr:sp macro="" textlink="">
      <xdr:nvSpPr>
        <xdr:cNvPr id="4097" name="Arrow: Down 4096">
          <a:extLst>
            <a:ext uri="{FF2B5EF4-FFF2-40B4-BE49-F238E27FC236}">
              <a16:creationId xmlns:a16="http://schemas.microsoft.com/office/drawing/2014/main" id="{6177C830-E8A1-41EC-88E0-CF6D53F57032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559</xdr:row>
      <xdr:rowOff>0</xdr:rowOff>
    </xdr:from>
    <xdr:to>
      <xdr:col>39</xdr:col>
      <xdr:colOff>83820</xdr:colOff>
      <xdr:row>559</xdr:row>
      <xdr:rowOff>114300</xdr:rowOff>
    </xdr:to>
    <xdr:sp macro="" textlink="">
      <xdr:nvSpPr>
        <xdr:cNvPr id="4115" name="Arrow: Down 4114">
          <a:extLst>
            <a:ext uri="{FF2B5EF4-FFF2-40B4-BE49-F238E27FC236}">
              <a16:creationId xmlns:a16="http://schemas.microsoft.com/office/drawing/2014/main" id="{A0C9EC2C-D407-4D91-A57F-63C88771CDB3}"/>
            </a:ext>
          </a:extLst>
        </xdr:cNvPr>
        <xdr:cNvSpPr/>
      </xdr:nvSpPr>
      <xdr:spPr>
        <a:xfrm>
          <a:off x="115443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559</xdr:row>
      <xdr:rowOff>0</xdr:rowOff>
    </xdr:from>
    <xdr:to>
      <xdr:col>45</xdr:col>
      <xdr:colOff>83820</xdr:colOff>
      <xdr:row>559</xdr:row>
      <xdr:rowOff>114300</xdr:rowOff>
    </xdr:to>
    <xdr:sp macro="" textlink="">
      <xdr:nvSpPr>
        <xdr:cNvPr id="4116" name="Arrow: Down 4115">
          <a:extLst>
            <a:ext uri="{FF2B5EF4-FFF2-40B4-BE49-F238E27FC236}">
              <a16:creationId xmlns:a16="http://schemas.microsoft.com/office/drawing/2014/main" id="{BA4B4A88-4878-488C-BFD6-FDF0838403F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559</xdr:row>
      <xdr:rowOff>0</xdr:rowOff>
    </xdr:from>
    <xdr:to>
      <xdr:col>11</xdr:col>
      <xdr:colOff>83820</xdr:colOff>
      <xdr:row>559</xdr:row>
      <xdr:rowOff>114300</xdr:rowOff>
    </xdr:to>
    <xdr:sp macro="" textlink="">
      <xdr:nvSpPr>
        <xdr:cNvPr id="4118" name="Arrow: Down 4117">
          <a:extLst>
            <a:ext uri="{FF2B5EF4-FFF2-40B4-BE49-F238E27FC236}">
              <a16:creationId xmlns:a16="http://schemas.microsoft.com/office/drawing/2014/main" id="{E5B8F73A-B43E-41DB-8CE0-943CFDFA8AA0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559</xdr:row>
      <xdr:rowOff>0</xdr:rowOff>
    </xdr:from>
    <xdr:to>
      <xdr:col>5</xdr:col>
      <xdr:colOff>83820</xdr:colOff>
      <xdr:row>559</xdr:row>
      <xdr:rowOff>114300</xdr:rowOff>
    </xdr:to>
    <xdr:sp macro="" textlink="">
      <xdr:nvSpPr>
        <xdr:cNvPr id="4121" name="Arrow: Down 4120">
          <a:extLst>
            <a:ext uri="{FF2B5EF4-FFF2-40B4-BE49-F238E27FC236}">
              <a16:creationId xmlns:a16="http://schemas.microsoft.com/office/drawing/2014/main" id="{D9F141CA-9ED8-46BD-A55E-94BF014FF3D1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559</xdr:row>
      <xdr:rowOff>0</xdr:rowOff>
    </xdr:from>
    <xdr:to>
      <xdr:col>24</xdr:col>
      <xdr:colOff>83820</xdr:colOff>
      <xdr:row>559</xdr:row>
      <xdr:rowOff>114300</xdr:rowOff>
    </xdr:to>
    <xdr:sp macro="" textlink="">
      <xdr:nvSpPr>
        <xdr:cNvPr id="4124" name="Arrow: Down 4123">
          <a:extLst>
            <a:ext uri="{FF2B5EF4-FFF2-40B4-BE49-F238E27FC236}">
              <a16:creationId xmlns:a16="http://schemas.microsoft.com/office/drawing/2014/main" id="{52722E18-665A-41BE-9CFD-FADB17058FEB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559</xdr:row>
      <xdr:rowOff>0</xdr:rowOff>
    </xdr:from>
    <xdr:to>
      <xdr:col>60</xdr:col>
      <xdr:colOff>83820</xdr:colOff>
      <xdr:row>559</xdr:row>
      <xdr:rowOff>114300</xdr:rowOff>
    </xdr:to>
    <xdr:sp macro="" textlink="">
      <xdr:nvSpPr>
        <xdr:cNvPr id="4129" name="Arrow: Down 4128">
          <a:extLst>
            <a:ext uri="{FF2B5EF4-FFF2-40B4-BE49-F238E27FC236}">
              <a16:creationId xmlns:a16="http://schemas.microsoft.com/office/drawing/2014/main" id="{28F26DFC-D7C3-4F4C-AEC7-887084CB74B1}"/>
            </a:ext>
          </a:extLst>
        </xdr:cNvPr>
        <xdr:cNvSpPr/>
      </xdr:nvSpPr>
      <xdr:spPr>
        <a:xfrm rot="10800000">
          <a:off x="190804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559</xdr:row>
      <xdr:rowOff>0</xdr:rowOff>
    </xdr:from>
    <xdr:to>
      <xdr:col>71</xdr:col>
      <xdr:colOff>83820</xdr:colOff>
      <xdr:row>559</xdr:row>
      <xdr:rowOff>114300</xdr:rowOff>
    </xdr:to>
    <xdr:sp macro="" textlink="">
      <xdr:nvSpPr>
        <xdr:cNvPr id="4133" name="Arrow: Down 4132">
          <a:extLst>
            <a:ext uri="{FF2B5EF4-FFF2-40B4-BE49-F238E27FC236}">
              <a16:creationId xmlns:a16="http://schemas.microsoft.com/office/drawing/2014/main" id="{23BF7AF6-EA0E-48A0-A7C0-B1DDB390BFBB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560</xdr:row>
      <xdr:rowOff>0</xdr:rowOff>
    </xdr:from>
    <xdr:to>
      <xdr:col>39</xdr:col>
      <xdr:colOff>83820</xdr:colOff>
      <xdr:row>560</xdr:row>
      <xdr:rowOff>114300</xdr:rowOff>
    </xdr:to>
    <xdr:sp macro="" textlink="">
      <xdr:nvSpPr>
        <xdr:cNvPr id="4135" name="Arrow: Down 4134">
          <a:extLst>
            <a:ext uri="{FF2B5EF4-FFF2-40B4-BE49-F238E27FC236}">
              <a16:creationId xmlns:a16="http://schemas.microsoft.com/office/drawing/2014/main" id="{5E13C9B0-4194-4500-8EBE-C7DB40887B62}"/>
            </a:ext>
          </a:extLst>
        </xdr:cNvPr>
        <xdr:cNvSpPr/>
      </xdr:nvSpPr>
      <xdr:spPr>
        <a:xfrm>
          <a:off x="115443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560</xdr:row>
      <xdr:rowOff>0</xdr:rowOff>
    </xdr:from>
    <xdr:to>
      <xdr:col>45</xdr:col>
      <xdr:colOff>83820</xdr:colOff>
      <xdr:row>560</xdr:row>
      <xdr:rowOff>114300</xdr:rowOff>
    </xdr:to>
    <xdr:sp macro="" textlink="">
      <xdr:nvSpPr>
        <xdr:cNvPr id="4137" name="Arrow: Down 4136">
          <a:extLst>
            <a:ext uri="{FF2B5EF4-FFF2-40B4-BE49-F238E27FC236}">
              <a16:creationId xmlns:a16="http://schemas.microsoft.com/office/drawing/2014/main" id="{575BC176-73B7-43C0-8E4B-BE9E5C797FC2}"/>
            </a:ext>
          </a:extLst>
        </xdr:cNvPr>
        <xdr:cNvSpPr/>
      </xdr:nvSpPr>
      <xdr:spPr>
        <a:xfrm rot="10800000">
          <a:off x="13403580" y="10232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560</xdr:row>
      <xdr:rowOff>0</xdr:rowOff>
    </xdr:from>
    <xdr:to>
      <xdr:col>11</xdr:col>
      <xdr:colOff>83820</xdr:colOff>
      <xdr:row>560</xdr:row>
      <xdr:rowOff>114300</xdr:rowOff>
    </xdr:to>
    <xdr:sp macro="" textlink="">
      <xdr:nvSpPr>
        <xdr:cNvPr id="4140" name="Arrow: Down 4139">
          <a:extLst>
            <a:ext uri="{FF2B5EF4-FFF2-40B4-BE49-F238E27FC236}">
              <a16:creationId xmlns:a16="http://schemas.microsoft.com/office/drawing/2014/main" id="{B0A9E2E5-8778-467D-922C-1DE85A2910D8}"/>
            </a:ext>
          </a:extLst>
        </xdr:cNvPr>
        <xdr:cNvSpPr/>
      </xdr:nvSpPr>
      <xdr:spPr>
        <a:xfrm rot="10800000">
          <a:off x="36957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560</xdr:row>
      <xdr:rowOff>0</xdr:rowOff>
    </xdr:from>
    <xdr:to>
      <xdr:col>5</xdr:col>
      <xdr:colOff>83820</xdr:colOff>
      <xdr:row>560</xdr:row>
      <xdr:rowOff>114300</xdr:rowOff>
    </xdr:to>
    <xdr:sp macro="" textlink="">
      <xdr:nvSpPr>
        <xdr:cNvPr id="4141" name="Arrow: Down 4140">
          <a:extLst>
            <a:ext uri="{FF2B5EF4-FFF2-40B4-BE49-F238E27FC236}">
              <a16:creationId xmlns:a16="http://schemas.microsoft.com/office/drawing/2014/main" id="{084581B3-7B66-4CDD-9396-10BA51310CA7}"/>
            </a:ext>
          </a:extLst>
        </xdr:cNvPr>
        <xdr:cNvSpPr/>
      </xdr:nvSpPr>
      <xdr:spPr>
        <a:xfrm rot="10800000">
          <a:off x="192786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560</xdr:row>
      <xdr:rowOff>0</xdr:rowOff>
    </xdr:from>
    <xdr:to>
      <xdr:col>24</xdr:col>
      <xdr:colOff>83820</xdr:colOff>
      <xdr:row>560</xdr:row>
      <xdr:rowOff>114300</xdr:rowOff>
    </xdr:to>
    <xdr:sp macro="" textlink="">
      <xdr:nvSpPr>
        <xdr:cNvPr id="4148" name="Arrow: Down 4147">
          <a:extLst>
            <a:ext uri="{FF2B5EF4-FFF2-40B4-BE49-F238E27FC236}">
              <a16:creationId xmlns:a16="http://schemas.microsoft.com/office/drawing/2014/main" id="{D4B8B61C-73E0-4BDE-A7D6-130AB7918083}"/>
            </a:ext>
          </a:extLst>
        </xdr:cNvPr>
        <xdr:cNvSpPr/>
      </xdr:nvSpPr>
      <xdr:spPr>
        <a:xfrm rot="10800000">
          <a:off x="83362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560</xdr:row>
      <xdr:rowOff>0</xdr:rowOff>
    </xdr:from>
    <xdr:to>
      <xdr:col>71</xdr:col>
      <xdr:colOff>83820</xdr:colOff>
      <xdr:row>560</xdr:row>
      <xdr:rowOff>114300</xdr:rowOff>
    </xdr:to>
    <xdr:sp macro="" textlink="">
      <xdr:nvSpPr>
        <xdr:cNvPr id="4176" name="Arrow: Down 4175">
          <a:extLst>
            <a:ext uri="{FF2B5EF4-FFF2-40B4-BE49-F238E27FC236}">
              <a16:creationId xmlns:a16="http://schemas.microsoft.com/office/drawing/2014/main" id="{765B049A-D8C2-41DA-B760-CAAC543C93E5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560</xdr:row>
      <xdr:rowOff>0</xdr:rowOff>
    </xdr:from>
    <xdr:to>
      <xdr:col>60</xdr:col>
      <xdr:colOff>83820</xdr:colOff>
      <xdr:row>560</xdr:row>
      <xdr:rowOff>114300</xdr:rowOff>
    </xdr:to>
    <xdr:sp macro="" textlink="">
      <xdr:nvSpPr>
        <xdr:cNvPr id="4181" name="Arrow: Down 4180">
          <a:extLst>
            <a:ext uri="{FF2B5EF4-FFF2-40B4-BE49-F238E27FC236}">
              <a16:creationId xmlns:a16="http://schemas.microsoft.com/office/drawing/2014/main" id="{E04FAEB5-A102-4FF7-95ED-8F61C064D778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561</xdr:row>
      <xdr:rowOff>0</xdr:rowOff>
    </xdr:from>
    <xdr:to>
      <xdr:col>39</xdr:col>
      <xdr:colOff>83820</xdr:colOff>
      <xdr:row>561</xdr:row>
      <xdr:rowOff>114300</xdr:rowOff>
    </xdr:to>
    <xdr:sp macro="" textlink="">
      <xdr:nvSpPr>
        <xdr:cNvPr id="4225" name="Arrow: Down 4224">
          <a:extLst>
            <a:ext uri="{FF2B5EF4-FFF2-40B4-BE49-F238E27FC236}">
              <a16:creationId xmlns:a16="http://schemas.microsoft.com/office/drawing/2014/main" id="{C07A260E-97CD-41DA-A051-58A1FE0B0657}"/>
            </a:ext>
          </a:extLst>
        </xdr:cNvPr>
        <xdr:cNvSpPr/>
      </xdr:nvSpPr>
      <xdr:spPr>
        <a:xfrm>
          <a:off x="1154430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561</xdr:row>
      <xdr:rowOff>0</xdr:rowOff>
    </xdr:from>
    <xdr:to>
      <xdr:col>71</xdr:col>
      <xdr:colOff>83820</xdr:colOff>
      <xdr:row>561</xdr:row>
      <xdr:rowOff>114300</xdr:rowOff>
    </xdr:to>
    <xdr:sp macro="" textlink="">
      <xdr:nvSpPr>
        <xdr:cNvPr id="4238" name="Arrow: Down 4237">
          <a:extLst>
            <a:ext uri="{FF2B5EF4-FFF2-40B4-BE49-F238E27FC236}">
              <a16:creationId xmlns:a16="http://schemas.microsoft.com/office/drawing/2014/main" id="{E9AAE472-0DB9-435F-84ED-5288CA2F491B}"/>
            </a:ext>
          </a:extLst>
        </xdr:cNvPr>
        <xdr:cNvSpPr/>
      </xdr:nvSpPr>
      <xdr:spPr>
        <a:xfrm rot="10800000">
          <a:off x="2180082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561</xdr:row>
      <xdr:rowOff>0</xdr:rowOff>
    </xdr:from>
    <xdr:to>
      <xdr:col>60</xdr:col>
      <xdr:colOff>83820</xdr:colOff>
      <xdr:row>561</xdr:row>
      <xdr:rowOff>114300</xdr:rowOff>
    </xdr:to>
    <xdr:sp macro="" textlink="">
      <xdr:nvSpPr>
        <xdr:cNvPr id="4239" name="Arrow: Down 4238">
          <a:extLst>
            <a:ext uri="{FF2B5EF4-FFF2-40B4-BE49-F238E27FC236}">
              <a16:creationId xmlns:a16="http://schemas.microsoft.com/office/drawing/2014/main" id="{5B95014D-0A21-4138-B378-38D83A1025D6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561</xdr:row>
      <xdr:rowOff>0</xdr:rowOff>
    </xdr:from>
    <xdr:to>
      <xdr:col>45</xdr:col>
      <xdr:colOff>83820</xdr:colOff>
      <xdr:row>561</xdr:row>
      <xdr:rowOff>114300</xdr:rowOff>
    </xdr:to>
    <xdr:sp macro="" textlink="">
      <xdr:nvSpPr>
        <xdr:cNvPr id="4241" name="Arrow: Down 4240">
          <a:extLst>
            <a:ext uri="{FF2B5EF4-FFF2-40B4-BE49-F238E27FC236}">
              <a16:creationId xmlns:a16="http://schemas.microsoft.com/office/drawing/2014/main" id="{E409F970-D899-4C6C-836D-02151C0661EC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561</xdr:row>
      <xdr:rowOff>0</xdr:rowOff>
    </xdr:from>
    <xdr:to>
      <xdr:col>24</xdr:col>
      <xdr:colOff>83820</xdr:colOff>
      <xdr:row>561</xdr:row>
      <xdr:rowOff>114300</xdr:rowOff>
    </xdr:to>
    <xdr:sp macro="" textlink="">
      <xdr:nvSpPr>
        <xdr:cNvPr id="4242" name="Arrow: Down 4241">
          <a:extLst>
            <a:ext uri="{FF2B5EF4-FFF2-40B4-BE49-F238E27FC236}">
              <a16:creationId xmlns:a16="http://schemas.microsoft.com/office/drawing/2014/main" id="{08103327-553A-44FD-831C-CE0FCEC872C2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561</xdr:row>
      <xdr:rowOff>0</xdr:rowOff>
    </xdr:from>
    <xdr:to>
      <xdr:col>11</xdr:col>
      <xdr:colOff>83820</xdr:colOff>
      <xdr:row>561</xdr:row>
      <xdr:rowOff>114300</xdr:rowOff>
    </xdr:to>
    <xdr:sp macro="" textlink="">
      <xdr:nvSpPr>
        <xdr:cNvPr id="4243" name="Arrow: Down 4242">
          <a:extLst>
            <a:ext uri="{FF2B5EF4-FFF2-40B4-BE49-F238E27FC236}">
              <a16:creationId xmlns:a16="http://schemas.microsoft.com/office/drawing/2014/main" id="{A791F59D-F33A-4338-BFF6-D07990667E73}"/>
            </a:ext>
          </a:extLst>
        </xdr:cNvPr>
        <xdr:cNvSpPr/>
      </xdr:nvSpPr>
      <xdr:spPr>
        <a:xfrm>
          <a:off x="369570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561</xdr:row>
      <xdr:rowOff>0</xdr:rowOff>
    </xdr:from>
    <xdr:to>
      <xdr:col>5</xdr:col>
      <xdr:colOff>83820</xdr:colOff>
      <xdr:row>561</xdr:row>
      <xdr:rowOff>114300</xdr:rowOff>
    </xdr:to>
    <xdr:sp macro="" textlink="">
      <xdr:nvSpPr>
        <xdr:cNvPr id="4244" name="Arrow: Down 4243">
          <a:extLst>
            <a:ext uri="{FF2B5EF4-FFF2-40B4-BE49-F238E27FC236}">
              <a16:creationId xmlns:a16="http://schemas.microsoft.com/office/drawing/2014/main" id="{C25E86E4-F973-48B6-A39E-B52D545BE1C0}"/>
            </a:ext>
          </a:extLst>
        </xdr:cNvPr>
        <xdr:cNvSpPr/>
      </xdr:nvSpPr>
      <xdr:spPr>
        <a:xfrm>
          <a:off x="192786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562</xdr:row>
      <xdr:rowOff>0</xdr:rowOff>
    </xdr:from>
    <xdr:to>
      <xdr:col>39</xdr:col>
      <xdr:colOff>83820</xdr:colOff>
      <xdr:row>562</xdr:row>
      <xdr:rowOff>114300</xdr:rowOff>
    </xdr:to>
    <xdr:sp macro="" textlink="">
      <xdr:nvSpPr>
        <xdr:cNvPr id="4245" name="Arrow: Down 4244">
          <a:extLst>
            <a:ext uri="{FF2B5EF4-FFF2-40B4-BE49-F238E27FC236}">
              <a16:creationId xmlns:a16="http://schemas.microsoft.com/office/drawing/2014/main" id="{3B422BD2-DE37-4F71-82DD-B6BFA4FE86E1}"/>
            </a:ext>
          </a:extLst>
        </xdr:cNvPr>
        <xdr:cNvSpPr/>
      </xdr:nvSpPr>
      <xdr:spPr>
        <a:xfrm>
          <a:off x="1154430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562</xdr:row>
      <xdr:rowOff>0</xdr:rowOff>
    </xdr:from>
    <xdr:to>
      <xdr:col>60</xdr:col>
      <xdr:colOff>83820</xdr:colOff>
      <xdr:row>562</xdr:row>
      <xdr:rowOff>114300</xdr:rowOff>
    </xdr:to>
    <xdr:sp macro="" textlink="">
      <xdr:nvSpPr>
        <xdr:cNvPr id="4247" name="Arrow: Down 4246">
          <a:extLst>
            <a:ext uri="{FF2B5EF4-FFF2-40B4-BE49-F238E27FC236}">
              <a16:creationId xmlns:a16="http://schemas.microsoft.com/office/drawing/2014/main" id="{601179A2-1F58-4DBE-844B-96FA14FA7F96}"/>
            </a:ext>
          </a:extLst>
        </xdr:cNvPr>
        <xdr:cNvSpPr/>
      </xdr:nvSpPr>
      <xdr:spPr>
        <a:xfrm>
          <a:off x="1908048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562</xdr:row>
      <xdr:rowOff>0</xdr:rowOff>
    </xdr:from>
    <xdr:to>
      <xdr:col>45</xdr:col>
      <xdr:colOff>83820</xdr:colOff>
      <xdr:row>562</xdr:row>
      <xdr:rowOff>114300</xdr:rowOff>
    </xdr:to>
    <xdr:sp macro="" textlink="">
      <xdr:nvSpPr>
        <xdr:cNvPr id="4248" name="Arrow: Down 4247">
          <a:extLst>
            <a:ext uri="{FF2B5EF4-FFF2-40B4-BE49-F238E27FC236}">
              <a16:creationId xmlns:a16="http://schemas.microsoft.com/office/drawing/2014/main" id="{B4A0D824-A0B8-49F2-AECB-C6EC967F52A6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562</xdr:row>
      <xdr:rowOff>0</xdr:rowOff>
    </xdr:from>
    <xdr:to>
      <xdr:col>24</xdr:col>
      <xdr:colOff>83820</xdr:colOff>
      <xdr:row>562</xdr:row>
      <xdr:rowOff>114300</xdr:rowOff>
    </xdr:to>
    <xdr:sp macro="" textlink="">
      <xdr:nvSpPr>
        <xdr:cNvPr id="4249" name="Arrow: Down 4248">
          <a:extLst>
            <a:ext uri="{FF2B5EF4-FFF2-40B4-BE49-F238E27FC236}">
              <a16:creationId xmlns:a16="http://schemas.microsoft.com/office/drawing/2014/main" id="{5F94AED3-AA27-4748-8ED5-64C8B2A4B998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562</xdr:row>
      <xdr:rowOff>0</xdr:rowOff>
    </xdr:from>
    <xdr:to>
      <xdr:col>71</xdr:col>
      <xdr:colOff>83820</xdr:colOff>
      <xdr:row>562</xdr:row>
      <xdr:rowOff>114300</xdr:rowOff>
    </xdr:to>
    <xdr:sp macro="" textlink="">
      <xdr:nvSpPr>
        <xdr:cNvPr id="4253" name="Arrow: Down 4252">
          <a:extLst>
            <a:ext uri="{FF2B5EF4-FFF2-40B4-BE49-F238E27FC236}">
              <a16:creationId xmlns:a16="http://schemas.microsoft.com/office/drawing/2014/main" id="{505ABE69-65F8-47DE-B271-1846564546F4}"/>
            </a:ext>
          </a:extLst>
        </xdr:cNvPr>
        <xdr:cNvSpPr/>
      </xdr:nvSpPr>
      <xdr:spPr>
        <a:xfrm>
          <a:off x="2180082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563</xdr:row>
      <xdr:rowOff>0</xdr:rowOff>
    </xdr:from>
    <xdr:to>
      <xdr:col>39</xdr:col>
      <xdr:colOff>83820</xdr:colOff>
      <xdr:row>563</xdr:row>
      <xdr:rowOff>114300</xdr:rowOff>
    </xdr:to>
    <xdr:sp macro="" textlink="">
      <xdr:nvSpPr>
        <xdr:cNvPr id="4254" name="Arrow: Down 4253">
          <a:extLst>
            <a:ext uri="{FF2B5EF4-FFF2-40B4-BE49-F238E27FC236}">
              <a16:creationId xmlns:a16="http://schemas.microsoft.com/office/drawing/2014/main" id="{8483F905-CC8F-4E56-AA1B-628367C1E682}"/>
            </a:ext>
          </a:extLst>
        </xdr:cNvPr>
        <xdr:cNvSpPr/>
      </xdr:nvSpPr>
      <xdr:spPr>
        <a:xfrm>
          <a:off x="115443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563</xdr:row>
      <xdr:rowOff>0</xdr:rowOff>
    </xdr:from>
    <xdr:to>
      <xdr:col>11</xdr:col>
      <xdr:colOff>83820</xdr:colOff>
      <xdr:row>563</xdr:row>
      <xdr:rowOff>114300</xdr:rowOff>
    </xdr:to>
    <xdr:sp macro="" textlink="">
      <xdr:nvSpPr>
        <xdr:cNvPr id="4258" name="Arrow: Down 4257">
          <a:extLst>
            <a:ext uri="{FF2B5EF4-FFF2-40B4-BE49-F238E27FC236}">
              <a16:creationId xmlns:a16="http://schemas.microsoft.com/office/drawing/2014/main" id="{45225777-BE55-48A9-97AE-3F10C05F56EE}"/>
            </a:ext>
          </a:extLst>
        </xdr:cNvPr>
        <xdr:cNvSpPr/>
      </xdr:nvSpPr>
      <xdr:spPr>
        <a:xfrm>
          <a:off x="369570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563</xdr:row>
      <xdr:rowOff>0</xdr:rowOff>
    </xdr:from>
    <xdr:to>
      <xdr:col>5</xdr:col>
      <xdr:colOff>83820</xdr:colOff>
      <xdr:row>563</xdr:row>
      <xdr:rowOff>114300</xdr:rowOff>
    </xdr:to>
    <xdr:sp macro="" textlink="">
      <xdr:nvSpPr>
        <xdr:cNvPr id="4259" name="Arrow: Down 4258">
          <a:extLst>
            <a:ext uri="{FF2B5EF4-FFF2-40B4-BE49-F238E27FC236}">
              <a16:creationId xmlns:a16="http://schemas.microsoft.com/office/drawing/2014/main" id="{540C3506-DAE7-4979-AD70-88B140E31B39}"/>
            </a:ext>
          </a:extLst>
        </xdr:cNvPr>
        <xdr:cNvSpPr/>
      </xdr:nvSpPr>
      <xdr:spPr>
        <a:xfrm>
          <a:off x="192786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562</xdr:row>
      <xdr:rowOff>0</xdr:rowOff>
    </xdr:from>
    <xdr:to>
      <xdr:col>5</xdr:col>
      <xdr:colOff>83820</xdr:colOff>
      <xdr:row>562</xdr:row>
      <xdr:rowOff>114300</xdr:rowOff>
    </xdr:to>
    <xdr:sp macro="" textlink="">
      <xdr:nvSpPr>
        <xdr:cNvPr id="4261" name="Arrow: Down 4260">
          <a:extLst>
            <a:ext uri="{FF2B5EF4-FFF2-40B4-BE49-F238E27FC236}">
              <a16:creationId xmlns:a16="http://schemas.microsoft.com/office/drawing/2014/main" id="{F49C29CE-6A6D-4650-AA74-BA3AA9103A2A}"/>
            </a:ext>
          </a:extLst>
        </xdr:cNvPr>
        <xdr:cNvSpPr/>
      </xdr:nvSpPr>
      <xdr:spPr>
        <a:xfrm rot="10800000">
          <a:off x="192786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562</xdr:row>
      <xdr:rowOff>0</xdr:rowOff>
    </xdr:from>
    <xdr:to>
      <xdr:col>11</xdr:col>
      <xdr:colOff>83820</xdr:colOff>
      <xdr:row>562</xdr:row>
      <xdr:rowOff>114300</xdr:rowOff>
    </xdr:to>
    <xdr:sp macro="" textlink="">
      <xdr:nvSpPr>
        <xdr:cNvPr id="4262" name="Arrow: Down 4261">
          <a:extLst>
            <a:ext uri="{FF2B5EF4-FFF2-40B4-BE49-F238E27FC236}">
              <a16:creationId xmlns:a16="http://schemas.microsoft.com/office/drawing/2014/main" id="{543EC9DB-ED50-4673-B0AD-3CDD0DB4B79F}"/>
            </a:ext>
          </a:extLst>
        </xdr:cNvPr>
        <xdr:cNvSpPr/>
      </xdr:nvSpPr>
      <xdr:spPr>
        <a:xfrm rot="10800000">
          <a:off x="36957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563</xdr:row>
      <xdr:rowOff>0</xdr:rowOff>
    </xdr:from>
    <xdr:to>
      <xdr:col>24</xdr:col>
      <xdr:colOff>83820</xdr:colOff>
      <xdr:row>563</xdr:row>
      <xdr:rowOff>114300</xdr:rowOff>
    </xdr:to>
    <xdr:sp macro="" textlink="">
      <xdr:nvSpPr>
        <xdr:cNvPr id="4264" name="Arrow: Down 4263">
          <a:extLst>
            <a:ext uri="{FF2B5EF4-FFF2-40B4-BE49-F238E27FC236}">
              <a16:creationId xmlns:a16="http://schemas.microsoft.com/office/drawing/2014/main" id="{629137CE-1A57-4D18-A139-BB0FA0C52E92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563</xdr:row>
      <xdr:rowOff>0</xdr:rowOff>
    </xdr:from>
    <xdr:to>
      <xdr:col>45</xdr:col>
      <xdr:colOff>83820</xdr:colOff>
      <xdr:row>563</xdr:row>
      <xdr:rowOff>114300</xdr:rowOff>
    </xdr:to>
    <xdr:sp macro="" textlink="">
      <xdr:nvSpPr>
        <xdr:cNvPr id="4268" name="Arrow: Down 4267">
          <a:extLst>
            <a:ext uri="{FF2B5EF4-FFF2-40B4-BE49-F238E27FC236}">
              <a16:creationId xmlns:a16="http://schemas.microsoft.com/office/drawing/2014/main" id="{9A6FD4CD-BE84-4A7A-85E8-264D059FA282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563</xdr:row>
      <xdr:rowOff>0</xdr:rowOff>
    </xdr:from>
    <xdr:to>
      <xdr:col>60</xdr:col>
      <xdr:colOff>83820</xdr:colOff>
      <xdr:row>563</xdr:row>
      <xdr:rowOff>114300</xdr:rowOff>
    </xdr:to>
    <xdr:sp macro="" textlink="">
      <xdr:nvSpPr>
        <xdr:cNvPr id="4269" name="Arrow: Down 4268">
          <a:extLst>
            <a:ext uri="{FF2B5EF4-FFF2-40B4-BE49-F238E27FC236}">
              <a16:creationId xmlns:a16="http://schemas.microsoft.com/office/drawing/2014/main" id="{C97C9CA0-05D5-4023-AB29-D5DC87A0DCFB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563</xdr:row>
      <xdr:rowOff>0</xdr:rowOff>
    </xdr:from>
    <xdr:to>
      <xdr:col>71</xdr:col>
      <xdr:colOff>83820</xdr:colOff>
      <xdr:row>563</xdr:row>
      <xdr:rowOff>114300</xdr:rowOff>
    </xdr:to>
    <xdr:sp macro="" textlink="">
      <xdr:nvSpPr>
        <xdr:cNvPr id="4270" name="Arrow: Down 4269">
          <a:extLst>
            <a:ext uri="{FF2B5EF4-FFF2-40B4-BE49-F238E27FC236}">
              <a16:creationId xmlns:a16="http://schemas.microsoft.com/office/drawing/2014/main" id="{556C9D69-0436-4D0E-8D4B-E9265947AE68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564</xdr:row>
      <xdr:rowOff>0</xdr:rowOff>
    </xdr:from>
    <xdr:to>
      <xdr:col>39</xdr:col>
      <xdr:colOff>83820</xdr:colOff>
      <xdr:row>564</xdr:row>
      <xdr:rowOff>114300</xdr:rowOff>
    </xdr:to>
    <xdr:sp macro="" textlink="">
      <xdr:nvSpPr>
        <xdr:cNvPr id="4278" name="Arrow: Down 4277">
          <a:extLst>
            <a:ext uri="{FF2B5EF4-FFF2-40B4-BE49-F238E27FC236}">
              <a16:creationId xmlns:a16="http://schemas.microsoft.com/office/drawing/2014/main" id="{0FB9FF00-60B8-43A6-98B5-489A3E6BEE48}"/>
            </a:ext>
          </a:extLst>
        </xdr:cNvPr>
        <xdr:cNvSpPr/>
      </xdr:nvSpPr>
      <xdr:spPr>
        <a:xfrm>
          <a:off x="1154430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564</xdr:row>
      <xdr:rowOff>0</xdr:rowOff>
    </xdr:from>
    <xdr:to>
      <xdr:col>11</xdr:col>
      <xdr:colOff>83820</xdr:colOff>
      <xdr:row>564</xdr:row>
      <xdr:rowOff>114300</xdr:rowOff>
    </xdr:to>
    <xdr:sp macro="" textlink="">
      <xdr:nvSpPr>
        <xdr:cNvPr id="4279" name="Arrow: Down 4278">
          <a:extLst>
            <a:ext uri="{FF2B5EF4-FFF2-40B4-BE49-F238E27FC236}">
              <a16:creationId xmlns:a16="http://schemas.microsoft.com/office/drawing/2014/main" id="{C4667A97-988D-4608-826D-7897637123BA}"/>
            </a:ext>
          </a:extLst>
        </xdr:cNvPr>
        <xdr:cNvSpPr/>
      </xdr:nvSpPr>
      <xdr:spPr>
        <a:xfrm>
          <a:off x="369570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564</xdr:row>
      <xdr:rowOff>0</xdr:rowOff>
    </xdr:from>
    <xdr:to>
      <xdr:col>5</xdr:col>
      <xdr:colOff>83820</xdr:colOff>
      <xdr:row>564</xdr:row>
      <xdr:rowOff>114300</xdr:rowOff>
    </xdr:to>
    <xdr:sp macro="" textlink="">
      <xdr:nvSpPr>
        <xdr:cNvPr id="4280" name="Arrow: Down 4279">
          <a:extLst>
            <a:ext uri="{FF2B5EF4-FFF2-40B4-BE49-F238E27FC236}">
              <a16:creationId xmlns:a16="http://schemas.microsoft.com/office/drawing/2014/main" id="{C23F5592-CF3F-486C-90FE-FC03CF707095}"/>
            </a:ext>
          </a:extLst>
        </xdr:cNvPr>
        <xdr:cNvSpPr/>
      </xdr:nvSpPr>
      <xdr:spPr>
        <a:xfrm>
          <a:off x="192786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564</xdr:row>
      <xdr:rowOff>0</xdr:rowOff>
    </xdr:from>
    <xdr:to>
      <xdr:col>24</xdr:col>
      <xdr:colOff>83820</xdr:colOff>
      <xdr:row>564</xdr:row>
      <xdr:rowOff>114300</xdr:rowOff>
    </xdr:to>
    <xdr:sp macro="" textlink="">
      <xdr:nvSpPr>
        <xdr:cNvPr id="4281" name="Arrow: Down 4280">
          <a:extLst>
            <a:ext uri="{FF2B5EF4-FFF2-40B4-BE49-F238E27FC236}">
              <a16:creationId xmlns:a16="http://schemas.microsoft.com/office/drawing/2014/main" id="{F0AE6811-7EEA-41BD-A58F-CE9C6F263A23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564</xdr:row>
      <xdr:rowOff>0</xdr:rowOff>
    </xdr:from>
    <xdr:to>
      <xdr:col>45</xdr:col>
      <xdr:colOff>83820</xdr:colOff>
      <xdr:row>564</xdr:row>
      <xdr:rowOff>114300</xdr:rowOff>
    </xdr:to>
    <xdr:sp macro="" textlink="">
      <xdr:nvSpPr>
        <xdr:cNvPr id="4282" name="Arrow: Down 4281">
          <a:extLst>
            <a:ext uri="{FF2B5EF4-FFF2-40B4-BE49-F238E27FC236}">
              <a16:creationId xmlns:a16="http://schemas.microsoft.com/office/drawing/2014/main" id="{B1EDBCF7-0C2E-4B2A-9DBD-F7710D248823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564</xdr:row>
      <xdr:rowOff>0</xdr:rowOff>
    </xdr:from>
    <xdr:to>
      <xdr:col>60</xdr:col>
      <xdr:colOff>83820</xdr:colOff>
      <xdr:row>564</xdr:row>
      <xdr:rowOff>114300</xdr:rowOff>
    </xdr:to>
    <xdr:sp macro="" textlink="">
      <xdr:nvSpPr>
        <xdr:cNvPr id="4283" name="Arrow: Down 4282">
          <a:extLst>
            <a:ext uri="{FF2B5EF4-FFF2-40B4-BE49-F238E27FC236}">
              <a16:creationId xmlns:a16="http://schemas.microsoft.com/office/drawing/2014/main" id="{9EF8B859-23BD-4726-95C3-C114E0C05646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564</xdr:row>
      <xdr:rowOff>0</xdr:rowOff>
    </xdr:from>
    <xdr:to>
      <xdr:col>71</xdr:col>
      <xdr:colOff>83820</xdr:colOff>
      <xdr:row>564</xdr:row>
      <xdr:rowOff>114300</xdr:rowOff>
    </xdr:to>
    <xdr:sp macro="" textlink="">
      <xdr:nvSpPr>
        <xdr:cNvPr id="4284" name="Arrow: Down 4283">
          <a:extLst>
            <a:ext uri="{FF2B5EF4-FFF2-40B4-BE49-F238E27FC236}">
              <a16:creationId xmlns:a16="http://schemas.microsoft.com/office/drawing/2014/main" id="{1D3A6142-45C5-4CBF-89E0-4AE610FAAA26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565</xdr:row>
      <xdr:rowOff>0</xdr:rowOff>
    </xdr:from>
    <xdr:to>
      <xdr:col>60</xdr:col>
      <xdr:colOff>83820</xdr:colOff>
      <xdr:row>565</xdr:row>
      <xdr:rowOff>114300</xdr:rowOff>
    </xdr:to>
    <xdr:sp macro="" textlink="">
      <xdr:nvSpPr>
        <xdr:cNvPr id="4098" name="Arrow: Down 4097">
          <a:extLst>
            <a:ext uri="{FF2B5EF4-FFF2-40B4-BE49-F238E27FC236}">
              <a16:creationId xmlns:a16="http://schemas.microsoft.com/office/drawing/2014/main" id="{170BB767-52E6-4DC2-B26F-5709CAE6F866}"/>
            </a:ext>
          </a:extLst>
        </xdr:cNvPr>
        <xdr:cNvSpPr/>
      </xdr:nvSpPr>
      <xdr:spPr>
        <a:xfrm>
          <a:off x="1908048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565</xdr:row>
      <xdr:rowOff>0</xdr:rowOff>
    </xdr:from>
    <xdr:to>
      <xdr:col>71</xdr:col>
      <xdr:colOff>83820</xdr:colOff>
      <xdr:row>565</xdr:row>
      <xdr:rowOff>114300</xdr:rowOff>
    </xdr:to>
    <xdr:sp macro="" textlink="">
      <xdr:nvSpPr>
        <xdr:cNvPr id="4099" name="Arrow: Down 4098">
          <a:extLst>
            <a:ext uri="{FF2B5EF4-FFF2-40B4-BE49-F238E27FC236}">
              <a16:creationId xmlns:a16="http://schemas.microsoft.com/office/drawing/2014/main" id="{914F4A35-E09B-42DB-8865-E5F431685290}"/>
            </a:ext>
          </a:extLst>
        </xdr:cNvPr>
        <xdr:cNvSpPr/>
      </xdr:nvSpPr>
      <xdr:spPr>
        <a:xfrm>
          <a:off x="2180082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565</xdr:row>
      <xdr:rowOff>0</xdr:rowOff>
    </xdr:from>
    <xdr:to>
      <xdr:col>11</xdr:col>
      <xdr:colOff>83820</xdr:colOff>
      <xdr:row>565</xdr:row>
      <xdr:rowOff>114300</xdr:rowOff>
    </xdr:to>
    <xdr:sp macro="" textlink="">
      <xdr:nvSpPr>
        <xdr:cNvPr id="4101" name="Arrow: Down 4100">
          <a:extLst>
            <a:ext uri="{FF2B5EF4-FFF2-40B4-BE49-F238E27FC236}">
              <a16:creationId xmlns:a16="http://schemas.microsoft.com/office/drawing/2014/main" id="{2D9E1C33-A4BF-4A8F-9AE6-6786D78A4D70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565</xdr:row>
      <xdr:rowOff>0</xdr:rowOff>
    </xdr:from>
    <xdr:to>
      <xdr:col>5</xdr:col>
      <xdr:colOff>83820</xdr:colOff>
      <xdr:row>565</xdr:row>
      <xdr:rowOff>114300</xdr:rowOff>
    </xdr:to>
    <xdr:sp macro="" textlink="">
      <xdr:nvSpPr>
        <xdr:cNvPr id="4105" name="Arrow: Down 4104">
          <a:extLst>
            <a:ext uri="{FF2B5EF4-FFF2-40B4-BE49-F238E27FC236}">
              <a16:creationId xmlns:a16="http://schemas.microsoft.com/office/drawing/2014/main" id="{99313BE3-ACB9-4E1B-BCEC-E30C8B02BD36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565</xdr:row>
      <xdr:rowOff>0</xdr:rowOff>
    </xdr:from>
    <xdr:to>
      <xdr:col>24</xdr:col>
      <xdr:colOff>83820</xdr:colOff>
      <xdr:row>565</xdr:row>
      <xdr:rowOff>114300</xdr:rowOff>
    </xdr:to>
    <xdr:sp macro="" textlink="">
      <xdr:nvSpPr>
        <xdr:cNvPr id="4109" name="Arrow: Down 4108">
          <a:extLst>
            <a:ext uri="{FF2B5EF4-FFF2-40B4-BE49-F238E27FC236}">
              <a16:creationId xmlns:a16="http://schemas.microsoft.com/office/drawing/2014/main" id="{DF3D406B-5D22-4941-967C-88FEBFD65598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565</xdr:row>
      <xdr:rowOff>0</xdr:rowOff>
    </xdr:from>
    <xdr:to>
      <xdr:col>39</xdr:col>
      <xdr:colOff>83820</xdr:colOff>
      <xdr:row>565</xdr:row>
      <xdr:rowOff>114300</xdr:rowOff>
    </xdr:to>
    <xdr:sp macro="" textlink="">
      <xdr:nvSpPr>
        <xdr:cNvPr id="4111" name="Arrow: Down 4110">
          <a:extLst>
            <a:ext uri="{FF2B5EF4-FFF2-40B4-BE49-F238E27FC236}">
              <a16:creationId xmlns:a16="http://schemas.microsoft.com/office/drawing/2014/main" id="{098AD3CD-8042-4E9B-858A-10E197D9CCB1}"/>
            </a:ext>
          </a:extLst>
        </xdr:cNvPr>
        <xdr:cNvSpPr/>
      </xdr:nvSpPr>
      <xdr:spPr>
        <a:xfrm rot="10800000">
          <a:off x="1154430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565</xdr:row>
      <xdr:rowOff>0</xdr:rowOff>
    </xdr:from>
    <xdr:to>
      <xdr:col>45</xdr:col>
      <xdr:colOff>83820</xdr:colOff>
      <xdr:row>565</xdr:row>
      <xdr:rowOff>114300</xdr:rowOff>
    </xdr:to>
    <xdr:sp macro="" textlink="">
      <xdr:nvSpPr>
        <xdr:cNvPr id="4164" name="Arrow: Down 4163">
          <a:extLst>
            <a:ext uri="{FF2B5EF4-FFF2-40B4-BE49-F238E27FC236}">
              <a16:creationId xmlns:a16="http://schemas.microsoft.com/office/drawing/2014/main" id="{D5F6C103-6F97-4BEF-B89B-23C6940065F9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566</xdr:row>
      <xdr:rowOff>0</xdr:rowOff>
    </xdr:from>
    <xdr:to>
      <xdr:col>11</xdr:col>
      <xdr:colOff>83820</xdr:colOff>
      <xdr:row>566</xdr:row>
      <xdr:rowOff>114300</xdr:rowOff>
    </xdr:to>
    <xdr:sp macro="" textlink="">
      <xdr:nvSpPr>
        <xdr:cNvPr id="4197" name="Arrow: Down 4196">
          <a:extLst>
            <a:ext uri="{FF2B5EF4-FFF2-40B4-BE49-F238E27FC236}">
              <a16:creationId xmlns:a16="http://schemas.microsoft.com/office/drawing/2014/main" id="{D246AE4A-ADB7-4CBD-A7DD-9D1DBAEC1E27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566</xdr:row>
      <xdr:rowOff>0</xdr:rowOff>
    </xdr:from>
    <xdr:to>
      <xdr:col>5</xdr:col>
      <xdr:colOff>83820</xdr:colOff>
      <xdr:row>566</xdr:row>
      <xdr:rowOff>114300</xdr:rowOff>
    </xdr:to>
    <xdr:sp macro="" textlink="">
      <xdr:nvSpPr>
        <xdr:cNvPr id="4205" name="Arrow: Down 4204">
          <a:extLst>
            <a:ext uri="{FF2B5EF4-FFF2-40B4-BE49-F238E27FC236}">
              <a16:creationId xmlns:a16="http://schemas.microsoft.com/office/drawing/2014/main" id="{792146A6-1E16-440B-BEBF-25A8D2D9742F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566</xdr:row>
      <xdr:rowOff>0</xdr:rowOff>
    </xdr:from>
    <xdr:to>
      <xdr:col>24</xdr:col>
      <xdr:colOff>83820</xdr:colOff>
      <xdr:row>566</xdr:row>
      <xdr:rowOff>114300</xdr:rowOff>
    </xdr:to>
    <xdr:sp macro="" textlink="">
      <xdr:nvSpPr>
        <xdr:cNvPr id="4209" name="Arrow: Down 4208">
          <a:extLst>
            <a:ext uri="{FF2B5EF4-FFF2-40B4-BE49-F238E27FC236}">
              <a16:creationId xmlns:a16="http://schemas.microsoft.com/office/drawing/2014/main" id="{BF609688-01DD-4E16-8BF0-803A8E020184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566</xdr:row>
      <xdr:rowOff>0</xdr:rowOff>
    </xdr:from>
    <xdr:to>
      <xdr:col>45</xdr:col>
      <xdr:colOff>83820</xdr:colOff>
      <xdr:row>566</xdr:row>
      <xdr:rowOff>114300</xdr:rowOff>
    </xdr:to>
    <xdr:sp macro="" textlink="">
      <xdr:nvSpPr>
        <xdr:cNvPr id="4224" name="Arrow: Down 4223">
          <a:extLst>
            <a:ext uri="{FF2B5EF4-FFF2-40B4-BE49-F238E27FC236}">
              <a16:creationId xmlns:a16="http://schemas.microsoft.com/office/drawing/2014/main" id="{CFA16F8E-F65E-4E85-A9A8-4F7C7DC4F821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566</xdr:row>
      <xdr:rowOff>0</xdr:rowOff>
    </xdr:from>
    <xdr:to>
      <xdr:col>60</xdr:col>
      <xdr:colOff>83820</xdr:colOff>
      <xdr:row>566</xdr:row>
      <xdr:rowOff>114300</xdr:rowOff>
    </xdr:to>
    <xdr:sp macro="" textlink="">
      <xdr:nvSpPr>
        <xdr:cNvPr id="4226" name="Arrow: Down 4225">
          <a:extLst>
            <a:ext uri="{FF2B5EF4-FFF2-40B4-BE49-F238E27FC236}">
              <a16:creationId xmlns:a16="http://schemas.microsoft.com/office/drawing/2014/main" id="{939C09B8-4D4E-4BBC-B2C2-B0C71115B7E0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566</xdr:row>
      <xdr:rowOff>0</xdr:rowOff>
    </xdr:from>
    <xdr:to>
      <xdr:col>71</xdr:col>
      <xdr:colOff>83820</xdr:colOff>
      <xdr:row>566</xdr:row>
      <xdr:rowOff>114300</xdr:rowOff>
    </xdr:to>
    <xdr:sp macro="" textlink="">
      <xdr:nvSpPr>
        <xdr:cNvPr id="4236" name="Arrow: Down 4235">
          <a:extLst>
            <a:ext uri="{FF2B5EF4-FFF2-40B4-BE49-F238E27FC236}">
              <a16:creationId xmlns:a16="http://schemas.microsoft.com/office/drawing/2014/main" id="{EDA59F2D-53B8-4FA8-9735-41055DAA99A0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567</xdr:row>
      <xdr:rowOff>0</xdr:rowOff>
    </xdr:from>
    <xdr:to>
      <xdr:col>11</xdr:col>
      <xdr:colOff>83820</xdr:colOff>
      <xdr:row>567</xdr:row>
      <xdr:rowOff>114300</xdr:rowOff>
    </xdr:to>
    <xdr:sp macro="" textlink="">
      <xdr:nvSpPr>
        <xdr:cNvPr id="4237" name="Arrow: Down 4236">
          <a:extLst>
            <a:ext uri="{FF2B5EF4-FFF2-40B4-BE49-F238E27FC236}">
              <a16:creationId xmlns:a16="http://schemas.microsoft.com/office/drawing/2014/main" id="{7234A361-55A8-4D4D-900C-B48F53C8AA94}"/>
            </a:ext>
          </a:extLst>
        </xdr:cNvPr>
        <xdr:cNvSpPr/>
      </xdr:nvSpPr>
      <xdr:spPr>
        <a:xfrm rot="10800000">
          <a:off x="36957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567</xdr:row>
      <xdr:rowOff>0</xdr:rowOff>
    </xdr:from>
    <xdr:to>
      <xdr:col>5</xdr:col>
      <xdr:colOff>83820</xdr:colOff>
      <xdr:row>567</xdr:row>
      <xdr:rowOff>114300</xdr:rowOff>
    </xdr:to>
    <xdr:sp macro="" textlink="">
      <xdr:nvSpPr>
        <xdr:cNvPr id="4240" name="Arrow: Down 4239">
          <a:extLst>
            <a:ext uri="{FF2B5EF4-FFF2-40B4-BE49-F238E27FC236}">
              <a16:creationId xmlns:a16="http://schemas.microsoft.com/office/drawing/2014/main" id="{5A47923D-FA53-4605-8B47-133FEC9A25BD}"/>
            </a:ext>
          </a:extLst>
        </xdr:cNvPr>
        <xdr:cNvSpPr/>
      </xdr:nvSpPr>
      <xdr:spPr>
        <a:xfrm rot="10800000">
          <a:off x="192786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567</xdr:row>
      <xdr:rowOff>0</xdr:rowOff>
    </xdr:from>
    <xdr:to>
      <xdr:col>24</xdr:col>
      <xdr:colOff>83820</xdr:colOff>
      <xdr:row>567</xdr:row>
      <xdr:rowOff>114300</xdr:rowOff>
    </xdr:to>
    <xdr:sp macro="" textlink="">
      <xdr:nvSpPr>
        <xdr:cNvPr id="4246" name="Arrow: Down 4245">
          <a:extLst>
            <a:ext uri="{FF2B5EF4-FFF2-40B4-BE49-F238E27FC236}">
              <a16:creationId xmlns:a16="http://schemas.microsoft.com/office/drawing/2014/main" id="{F342F09F-F7E7-4866-AE93-A0F432BE4CC6}"/>
            </a:ext>
          </a:extLst>
        </xdr:cNvPr>
        <xdr:cNvSpPr/>
      </xdr:nvSpPr>
      <xdr:spPr>
        <a:xfrm rot="10800000">
          <a:off x="83362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567</xdr:row>
      <xdr:rowOff>0</xdr:rowOff>
    </xdr:from>
    <xdr:to>
      <xdr:col>45</xdr:col>
      <xdr:colOff>83820</xdr:colOff>
      <xdr:row>567</xdr:row>
      <xdr:rowOff>114300</xdr:rowOff>
    </xdr:to>
    <xdr:sp macro="" textlink="">
      <xdr:nvSpPr>
        <xdr:cNvPr id="4251" name="Arrow: Down 4250">
          <a:extLst>
            <a:ext uri="{FF2B5EF4-FFF2-40B4-BE49-F238E27FC236}">
              <a16:creationId xmlns:a16="http://schemas.microsoft.com/office/drawing/2014/main" id="{E0D0C925-C7CF-4FE3-8B6F-26A2B28235B6}"/>
            </a:ext>
          </a:extLst>
        </xdr:cNvPr>
        <xdr:cNvSpPr/>
      </xdr:nvSpPr>
      <xdr:spPr>
        <a:xfrm rot="10800000">
          <a:off x="13403580" y="10360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567</xdr:row>
      <xdr:rowOff>0</xdr:rowOff>
    </xdr:from>
    <xdr:to>
      <xdr:col>60</xdr:col>
      <xdr:colOff>83820</xdr:colOff>
      <xdr:row>567</xdr:row>
      <xdr:rowOff>114300</xdr:rowOff>
    </xdr:to>
    <xdr:sp macro="" textlink="">
      <xdr:nvSpPr>
        <xdr:cNvPr id="4252" name="Arrow: Down 4251">
          <a:extLst>
            <a:ext uri="{FF2B5EF4-FFF2-40B4-BE49-F238E27FC236}">
              <a16:creationId xmlns:a16="http://schemas.microsoft.com/office/drawing/2014/main" id="{E7ED6014-A1AC-4AC7-AA82-1D088D25A1A5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567</xdr:row>
      <xdr:rowOff>0</xdr:rowOff>
    </xdr:from>
    <xdr:to>
      <xdr:col>71</xdr:col>
      <xdr:colOff>83820</xdr:colOff>
      <xdr:row>567</xdr:row>
      <xdr:rowOff>114300</xdr:rowOff>
    </xdr:to>
    <xdr:sp macro="" textlink="">
      <xdr:nvSpPr>
        <xdr:cNvPr id="4255" name="Arrow: Down 4254">
          <a:extLst>
            <a:ext uri="{FF2B5EF4-FFF2-40B4-BE49-F238E27FC236}">
              <a16:creationId xmlns:a16="http://schemas.microsoft.com/office/drawing/2014/main" id="{ADB12ABC-9060-4611-9053-DA1D00D73228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568</xdr:row>
      <xdr:rowOff>0</xdr:rowOff>
    </xdr:from>
    <xdr:to>
      <xdr:col>24</xdr:col>
      <xdr:colOff>83820</xdr:colOff>
      <xdr:row>568</xdr:row>
      <xdr:rowOff>114300</xdr:rowOff>
    </xdr:to>
    <xdr:sp macro="" textlink="">
      <xdr:nvSpPr>
        <xdr:cNvPr id="4260" name="Arrow: Down 4259">
          <a:extLst>
            <a:ext uri="{FF2B5EF4-FFF2-40B4-BE49-F238E27FC236}">
              <a16:creationId xmlns:a16="http://schemas.microsoft.com/office/drawing/2014/main" id="{316F7F29-F659-4E1E-B3D4-C2B947162EF6}"/>
            </a:ext>
          </a:extLst>
        </xdr:cNvPr>
        <xdr:cNvSpPr/>
      </xdr:nvSpPr>
      <xdr:spPr>
        <a:xfrm rot="10800000">
          <a:off x="833628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566</xdr:row>
      <xdr:rowOff>0</xdr:rowOff>
    </xdr:from>
    <xdr:to>
      <xdr:col>39</xdr:col>
      <xdr:colOff>83820</xdr:colOff>
      <xdr:row>566</xdr:row>
      <xdr:rowOff>114300</xdr:rowOff>
    </xdr:to>
    <xdr:sp macro="" textlink="">
      <xdr:nvSpPr>
        <xdr:cNvPr id="4271" name="Arrow: Down 4270">
          <a:extLst>
            <a:ext uri="{FF2B5EF4-FFF2-40B4-BE49-F238E27FC236}">
              <a16:creationId xmlns:a16="http://schemas.microsoft.com/office/drawing/2014/main" id="{4CAAE5D2-BF54-4AEE-96EA-C108AA39EAC7}"/>
            </a:ext>
          </a:extLst>
        </xdr:cNvPr>
        <xdr:cNvSpPr/>
      </xdr:nvSpPr>
      <xdr:spPr>
        <a:xfrm>
          <a:off x="115443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568</xdr:row>
      <xdr:rowOff>0</xdr:rowOff>
    </xdr:from>
    <xdr:to>
      <xdr:col>39</xdr:col>
      <xdr:colOff>83820</xdr:colOff>
      <xdr:row>568</xdr:row>
      <xdr:rowOff>114300</xdr:rowOff>
    </xdr:to>
    <xdr:sp macro="" textlink="">
      <xdr:nvSpPr>
        <xdr:cNvPr id="4272" name="Arrow: Down 4271">
          <a:extLst>
            <a:ext uri="{FF2B5EF4-FFF2-40B4-BE49-F238E27FC236}">
              <a16:creationId xmlns:a16="http://schemas.microsoft.com/office/drawing/2014/main" id="{792FBDF8-3881-4FF3-8274-27F5909E59AF}"/>
            </a:ext>
          </a:extLst>
        </xdr:cNvPr>
        <xdr:cNvSpPr/>
      </xdr:nvSpPr>
      <xdr:spPr>
        <a:xfrm>
          <a:off x="115443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567</xdr:row>
      <xdr:rowOff>0</xdr:rowOff>
    </xdr:from>
    <xdr:to>
      <xdr:col>39</xdr:col>
      <xdr:colOff>83820</xdr:colOff>
      <xdr:row>567</xdr:row>
      <xdr:rowOff>114300</xdr:rowOff>
    </xdr:to>
    <xdr:sp macro="" textlink="">
      <xdr:nvSpPr>
        <xdr:cNvPr id="4273" name="Arrow: Down 4272">
          <a:extLst>
            <a:ext uri="{FF2B5EF4-FFF2-40B4-BE49-F238E27FC236}">
              <a16:creationId xmlns:a16="http://schemas.microsoft.com/office/drawing/2014/main" id="{6780BACE-2356-4674-9655-416B7EE781E8}"/>
            </a:ext>
          </a:extLst>
        </xdr:cNvPr>
        <xdr:cNvSpPr/>
      </xdr:nvSpPr>
      <xdr:spPr>
        <a:xfrm>
          <a:off x="1154430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568</xdr:row>
      <xdr:rowOff>0</xdr:rowOff>
    </xdr:from>
    <xdr:to>
      <xdr:col>45</xdr:col>
      <xdr:colOff>83820</xdr:colOff>
      <xdr:row>568</xdr:row>
      <xdr:rowOff>114300</xdr:rowOff>
    </xdr:to>
    <xdr:sp macro="" textlink="">
      <xdr:nvSpPr>
        <xdr:cNvPr id="4274" name="Arrow: Down 4273">
          <a:extLst>
            <a:ext uri="{FF2B5EF4-FFF2-40B4-BE49-F238E27FC236}">
              <a16:creationId xmlns:a16="http://schemas.microsoft.com/office/drawing/2014/main" id="{B09D9500-209A-474F-8AC1-D89AB8209C7F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568</xdr:row>
      <xdr:rowOff>0</xdr:rowOff>
    </xdr:from>
    <xdr:to>
      <xdr:col>60</xdr:col>
      <xdr:colOff>83820</xdr:colOff>
      <xdr:row>568</xdr:row>
      <xdr:rowOff>114300</xdr:rowOff>
    </xdr:to>
    <xdr:sp macro="" textlink="">
      <xdr:nvSpPr>
        <xdr:cNvPr id="4276" name="Arrow: Down 4275">
          <a:extLst>
            <a:ext uri="{FF2B5EF4-FFF2-40B4-BE49-F238E27FC236}">
              <a16:creationId xmlns:a16="http://schemas.microsoft.com/office/drawing/2014/main" id="{C69E20B4-C458-409E-A8CA-4CD980538107}"/>
            </a:ext>
          </a:extLst>
        </xdr:cNvPr>
        <xdr:cNvSpPr/>
      </xdr:nvSpPr>
      <xdr:spPr>
        <a:xfrm>
          <a:off x="1908048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568</xdr:row>
      <xdr:rowOff>0</xdr:rowOff>
    </xdr:from>
    <xdr:to>
      <xdr:col>71</xdr:col>
      <xdr:colOff>83820</xdr:colOff>
      <xdr:row>568</xdr:row>
      <xdr:rowOff>114300</xdr:rowOff>
    </xdr:to>
    <xdr:sp macro="" textlink="">
      <xdr:nvSpPr>
        <xdr:cNvPr id="4277" name="Arrow: Down 4276">
          <a:extLst>
            <a:ext uri="{FF2B5EF4-FFF2-40B4-BE49-F238E27FC236}">
              <a16:creationId xmlns:a16="http://schemas.microsoft.com/office/drawing/2014/main" id="{E6CDAD7D-24A7-40D8-B3F7-D17F45EABE6E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569</xdr:row>
      <xdr:rowOff>0</xdr:rowOff>
    </xdr:from>
    <xdr:to>
      <xdr:col>11</xdr:col>
      <xdr:colOff>83820</xdr:colOff>
      <xdr:row>569</xdr:row>
      <xdr:rowOff>114300</xdr:rowOff>
    </xdr:to>
    <xdr:sp macro="" textlink="">
      <xdr:nvSpPr>
        <xdr:cNvPr id="4285" name="Arrow: Down 4284">
          <a:extLst>
            <a:ext uri="{FF2B5EF4-FFF2-40B4-BE49-F238E27FC236}">
              <a16:creationId xmlns:a16="http://schemas.microsoft.com/office/drawing/2014/main" id="{A70CEE5C-90B6-4224-A24B-8462D9619356}"/>
            </a:ext>
          </a:extLst>
        </xdr:cNvPr>
        <xdr:cNvSpPr/>
      </xdr:nvSpPr>
      <xdr:spPr>
        <a:xfrm rot="10800000">
          <a:off x="36957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569</xdr:row>
      <xdr:rowOff>0</xdr:rowOff>
    </xdr:from>
    <xdr:to>
      <xdr:col>5</xdr:col>
      <xdr:colOff>83820</xdr:colOff>
      <xdr:row>569</xdr:row>
      <xdr:rowOff>114300</xdr:rowOff>
    </xdr:to>
    <xdr:sp macro="" textlink="">
      <xdr:nvSpPr>
        <xdr:cNvPr id="4286" name="Arrow: Down 4285">
          <a:extLst>
            <a:ext uri="{FF2B5EF4-FFF2-40B4-BE49-F238E27FC236}">
              <a16:creationId xmlns:a16="http://schemas.microsoft.com/office/drawing/2014/main" id="{068472AF-BDAA-40FB-92E0-D2AE79E8F4CE}"/>
            </a:ext>
          </a:extLst>
        </xdr:cNvPr>
        <xdr:cNvSpPr/>
      </xdr:nvSpPr>
      <xdr:spPr>
        <a:xfrm rot="10800000">
          <a:off x="192786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569</xdr:row>
      <xdr:rowOff>0</xdr:rowOff>
    </xdr:from>
    <xdr:to>
      <xdr:col>24</xdr:col>
      <xdr:colOff>83820</xdr:colOff>
      <xdr:row>569</xdr:row>
      <xdr:rowOff>114300</xdr:rowOff>
    </xdr:to>
    <xdr:sp macro="" textlink="">
      <xdr:nvSpPr>
        <xdr:cNvPr id="4287" name="Arrow: Down 4286">
          <a:extLst>
            <a:ext uri="{FF2B5EF4-FFF2-40B4-BE49-F238E27FC236}">
              <a16:creationId xmlns:a16="http://schemas.microsoft.com/office/drawing/2014/main" id="{25C29B6A-9E8F-46AF-A70F-0FF05C830FDA}"/>
            </a:ext>
          </a:extLst>
        </xdr:cNvPr>
        <xdr:cNvSpPr/>
      </xdr:nvSpPr>
      <xdr:spPr>
        <a:xfrm rot="10800000">
          <a:off x="83362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569</xdr:row>
      <xdr:rowOff>0</xdr:rowOff>
    </xdr:from>
    <xdr:to>
      <xdr:col>45</xdr:col>
      <xdr:colOff>83820</xdr:colOff>
      <xdr:row>569</xdr:row>
      <xdr:rowOff>114300</xdr:rowOff>
    </xdr:to>
    <xdr:sp macro="" textlink="">
      <xdr:nvSpPr>
        <xdr:cNvPr id="4289" name="Arrow: Down 4288">
          <a:extLst>
            <a:ext uri="{FF2B5EF4-FFF2-40B4-BE49-F238E27FC236}">
              <a16:creationId xmlns:a16="http://schemas.microsoft.com/office/drawing/2014/main" id="{87274945-84B6-4FAF-8AAE-8CBDCF73C8E5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569</xdr:row>
      <xdr:rowOff>0</xdr:rowOff>
    </xdr:from>
    <xdr:to>
      <xdr:col>71</xdr:col>
      <xdr:colOff>83820</xdr:colOff>
      <xdr:row>569</xdr:row>
      <xdr:rowOff>114300</xdr:rowOff>
    </xdr:to>
    <xdr:sp macro="" textlink="">
      <xdr:nvSpPr>
        <xdr:cNvPr id="4291" name="Arrow: Down 4290">
          <a:extLst>
            <a:ext uri="{FF2B5EF4-FFF2-40B4-BE49-F238E27FC236}">
              <a16:creationId xmlns:a16="http://schemas.microsoft.com/office/drawing/2014/main" id="{FF7876DD-B0A1-4894-BEB1-4BBA5B3122F2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568</xdr:row>
      <xdr:rowOff>0</xdr:rowOff>
    </xdr:from>
    <xdr:to>
      <xdr:col>11</xdr:col>
      <xdr:colOff>83820</xdr:colOff>
      <xdr:row>568</xdr:row>
      <xdr:rowOff>114300</xdr:rowOff>
    </xdr:to>
    <xdr:sp macro="" textlink="">
      <xdr:nvSpPr>
        <xdr:cNvPr id="4292" name="Arrow: Down 4291">
          <a:extLst>
            <a:ext uri="{FF2B5EF4-FFF2-40B4-BE49-F238E27FC236}">
              <a16:creationId xmlns:a16="http://schemas.microsoft.com/office/drawing/2014/main" id="{39CF9B9E-49C1-4778-BBE4-5DF3A016EE10}"/>
            </a:ext>
          </a:extLst>
        </xdr:cNvPr>
        <xdr:cNvSpPr/>
      </xdr:nvSpPr>
      <xdr:spPr>
        <a:xfrm>
          <a:off x="369570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568</xdr:row>
      <xdr:rowOff>0</xdr:rowOff>
    </xdr:from>
    <xdr:to>
      <xdr:col>5</xdr:col>
      <xdr:colOff>83820</xdr:colOff>
      <xdr:row>568</xdr:row>
      <xdr:rowOff>114300</xdr:rowOff>
    </xdr:to>
    <xdr:sp macro="" textlink="">
      <xdr:nvSpPr>
        <xdr:cNvPr id="4293" name="Arrow: Down 4292">
          <a:extLst>
            <a:ext uri="{FF2B5EF4-FFF2-40B4-BE49-F238E27FC236}">
              <a16:creationId xmlns:a16="http://schemas.microsoft.com/office/drawing/2014/main" id="{D9CC3FA4-27AD-44C4-A219-D2401EAD2D14}"/>
            </a:ext>
          </a:extLst>
        </xdr:cNvPr>
        <xdr:cNvSpPr/>
      </xdr:nvSpPr>
      <xdr:spPr>
        <a:xfrm>
          <a:off x="192786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569</xdr:row>
      <xdr:rowOff>0</xdr:rowOff>
    </xdr:from>
    <xdr:to>
      <xdr:col>39</xdr:col>
      <xdr:colOff>83820</xdr:colOff>
      <xdr:row>569</xdr:row>
      <xdr:rowOff>114300</xdr:rowOff>
    </xdr:to>
    <xdr:sp macro="" textlink="">
      <xdr:nvSpPr>
        <xdr:cNvPr id="4295" name="Arrow: Down 4294">
          <a:extLst>
            <a:ext uri="{FF2B5EF4-FFF2-40B4-BE49-F238E27FC236}">
              <a16:creationId xmlns:a16="http://schemas.microsoft.com/office/drawing/2014/main" id="{000F8D7E-9367-49A7-B26A-E9C6E91323D0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569</xdr:row>
      <xdr:rowOff>0</xdr:rowOff>
    </xdr:from>
    <xdr:to>
      <xdr:col>60</xdr:col>
      <xdr:colOff>83820</xdr:colOff>
      <xdr:row>569</xdr:row>
      <xdr:rowOff>114300</xdr:rowOff>
    </xdr:to>
    <xdr:sp macro="" textlink="">
      <xdr:nvSpPr>
        <xdr:cNvPr id="4296" name="Arrow: Down 4295">
          <a:extLst>
            <a:ext uri="{FF2B5EF4-FFF2-40B4-BE49-F238E27FC236}">
              <a16:creationId xmlns:a16="http://schemas.microsoft.com/office/drawing/2014/main" id="{A1359AED-7DF6-485B-879B-1FEE896F8390}"/>
            </a:ext>
          </a:extLst>
        </xdr:cNvPr>
        <xdr:cNvSpPr/>
      </xdr:nvSpPr>
      <xdr:spPr>
        <a:xfrm rot="10800000">
          <a:off x="190804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570</xdr:row>
      <xdr:rowOff>0</xdr:rowOff>
    </xdr:from>
    <xdr:to>
      <xdr:col>45</xdr:col>
      <xdr:colOff>83820</xdr:colOff>
      <xdr:row>570</xdr:row>
      <xdr:rowOff>114300</xdr:rowOff>
    </xdr:to>
    <xdr:sp macro="" textlink="">
      <xdr:nvSpPr>
        <xdr:cNvPr id="4110" name="Arrow: Down 4109">
          <a:extLst>
            <a:ext uri="{FF2B5EF4-FFF2-40B4-BE49-F238E27FC236}">
              <a16:creationId xmlns:a16="http://schemas.microsoft.com/office/drawing/2014/main" id="{BF9AFE3C-2C0E-4C21-A8BA-47806C9AAA7F}"/>
            </a:ext>
          </a:extLst>
        </xdr:cNvPr>
        <xdr:cNvSpPr/>
      </xdr:nvSpPr>
      <xdr:spPr>
        <a:xfrm>
          <a:off x="134035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570</xdr:row>
      <xdr:rowOff>0</xdr:rowOff>
    </xdr:from>
    <xdr:to>
      <xdr:col>39</xdr:col>
      <xdr:colOff>83820</xdr:colOff>
      <xdr:row>570</xdr:row>
      <xdr:rowOff>114300</xdr:rowOff>
    </xdr:to>
    <xdr:sp macro="" textlink="">
      <xdr:nvSpPr>
        <xdr:cNvPr id="4185" name="Arrow: Down 4184">
          <a:extLst>
            <a:ext uri="{FF2B5EF4-FFF2-40B4-BE49-F238E27FC236}">
              <a16:creationId xmlns:a16="http://schemas.microsoft.com/office/drawing/2014/main" id="{FF46476E-1350-4955-A37E-A138353248FC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570</xdr:row>
      <xdr:rowOff>0</xdr:rowOff>
    </xdr:from>
    <xdr:to>
      <xdr:col>71</xdr:col>
      <xdr:colOff>83820</xdr:colOff>
      <xdr:row>570</xdr:row>
      <xdr:rowOff>114300</xdr:rowOff>
    </xdr:to>
    <xdr:sp macro="" textlink="">
      <xdr:nvSpPr>
        <xdr:cNvPr id="4227" name="Arrow: Down 4226">
          <a:extLst>
            <a:ext uri="{FF2B5EF4-FFF2-40B4-BE49-F238E27FC236}">
              <a16:creationId xmlns:a16="http://schemas.microsoft.com/office/drawing/2014/main" id="{1A5C9C09-C626-4B23-868E-9809FC2F6E71}"/>
            </a:ext>
          </a:extLst>
        </xdr:cNvPr>
        <xdr:cNvSpPr/>
      </xdr:nvSpPr>
      <xdr:spPr>
        <a:xfrm rot="10800000">
          <a:off x="2180082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570</xdr:row>
      <xdr:rowOff>0</xdr:rowOff>
    </xdr:from>
    <xdr:to>
      <xdr:col>60</xdr:col>
      <xdr:colOff>83820</xdr:colOff>
      <xdr:row>570</xdr:row>
      <xdr:rowOff>114300</xdr:rowOff>
    </xdr:to>
    <xdr:sp macro="" textlink="">
      <xdr:nvSpPr>
        <xdr:cNvPr id="4257" name="Arrow: Down 4256">
          <a:extLst>
            <a:ext uri="{FF2B5EF4-FFF2-40B4-BE49-F238E27FC236}">
              <a16:creationId xmlns:a16="http://schemas.microsoft.com/office/drawing/2014/main" id="{648FA730-227B-44FF-B5B7-F8F7D9CEA6F9}"/>
            </a:ext>
          </a:extLst>
        </xdr:cNvPr>
        <xdr:cNvSpPr/>
      </xdr:nvSpPr>
      <xdr:spPr>
        <a:xfrm rot="10800000">
          <a:off x="190804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570</xdr:row>
      <xdr:rowOff>0</xdr:rowOff>
    </xdr:from>
    <xdr:to>
      <xdr:col>5</xdr:col>
      <xdr:colOff>83820</xdr:colOff>
      <xdr:row>570</xdr:row>
      <xdr:rowOff>114300</xdr:rowOff>
    </xdr:to>
    <xdr:sp macro="" textlink="">
      <xdr:nvSpPr>
        <xdr:cNvPr id="4265" name="Arrow: Down 4264">
          <a:extLst>
            <a:ext uri="{FF2B5EF4-FFF2-40B4-BE49-F238E27FC236}">
              <a16:creationId xmlns:a16="http://schemas.microsoft.com/office/drawing/2014/main" id="{B3F0CCE2-BA90-4DFD-BAFA-2B72252E57A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570</xdr:row>
      <xdr:rowOff>0</xdr:rowOff>
    </xdr:from>
    <xdr:to>
      <xdr:col>11</xdr:col>
      <xdr:colOff>83820</xdr:colOff>
      <xdr:row>570</xdr:row>
      <xdr:rowOff>114300</xdr:rowOff>
    </xdr:to>
    <xdr:sp macro="" textlink="">
      <xdr:nvSpPr>
        <xdr:cNvPr id="4275" name="Arrow: Down 4274">
          <a:extLst>
            <a:ext uri="{FF2B5EF4-FFF2-40B4-BE49-F238E27FC236}">
              <a16:creationId xmlns:a16="http://schemas.microsoft.com/office/drawing/2014/main" id="{94969366-CC5F-42C6-A916-525E56D177E1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570</xdr:row>
      <xdr:rowOff>0</xdr:rowOff>
    </xdr:from>
    <xdr:to>
      <xdr:col>24</xdr:col>
      <xdr:colOff>83820</xdr:colOff>
      <xdr:row>570</xdr:row>
      <xdr:rowOff>114300</xdr:rowOff>
    </xdr:to>
    <xdr:sp macro="" textlink="">
      <xdr:nvSpPr>
        <xdr:cNvPr id="4290" name="Arrow: Down 4289">
          <a:extLst>
            <a:ext uri="{FF2B5EF4-FFF2-40B4-BE49-F238E27FC236}">
              <a16:creationId xmlns:a16="http://schemas.microsoft.com/office/drawing/2014/main" id="{D229A583-9790-4063-8738-5CA0E543662B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571</xdr:row>
      <xdr:rowOff>0</xdr:rowOff>
    </xdr:from>
    <xdr:to>
      <xdr:col>45</xdr:col>
      <xdr:colOff>83820</xdr:colOff>
      <xdr:row>571</xdr:row>
      <xdr:rowOff>114300</xdr:rowOff>
    </xdr:to>
    <xdr:sp macro="" textlink="">
      <xdr:nvSpPr>
        <xdr:cNvPr id="4294" name="Arrow: Down 4293">
          <a:extLst>
            <a:ext uri="{FF2B5EF4-FFF2-40B4-BE49-F238E27FC236}">
              <a16:creationId xmlns:a16="http://schemas.microsoft.com/office/drawing/2014/main" id="{00C5189E-8114-4991-B758-1C09F8C2EFD4}"/>
            </a:ext>
          </a:extLst>
        </xdr:cNvPr>
        <xdr:cNvSpPr/>
      </xdr:nvSpPr>
      <xdr:spPr>
        <a:xfrm>
          <a:off x="134035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571</xdr:row>
      <xdr:rowOff>0</xdr:rowOff>
    </xdr:from>
    <xdr:to>
      <xdr:col>5</xdr:col>
      <xdr:colOff>83820</xdr:colOff>
      <xdr:row>571</xdr:row>
      <xdr:rowOff>114300</xdr:rowOff>
    </xdr:to>
    <xdr:sp macro="" textlink="">
      <xdr:nvSpPr>
        <xdr:cNvPr id="4300" name="Arrow: Down 4299">
          <a:extLst>
            <a:ext uri="{FF2B5EF4-FFF2-40B4-BE49-F238E27FC236}">
              <a16:creationId xmlns:a16="http://schemas.microsoft.com/office/drawing/2014/main" id="{04738A73-C770-420B-A4E1-CE01BCE0392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571</xdr:row>
      <xdr:rowOff>0</xdr:rowOff>
    </xdr:from>
    <xdr:to>
      <xdr:col>11</xdr:col>
      <xdr:colOff>83820</xdr:colOff>
      <xdr:row>571</xdr:row>
      <xdr:rowOff>114300</xdr:rowOff>
    </xdr:to>
    <xdr:sp macro="" textlink="">
      <xdr:nvSpPr>
        <xdr:cNvPr id="4301" name="Arrow: Down 4300">
          <a:extLst>
            <a:ext uri="{FF2B5EF4-FFF2-40B4-BE49-F238E27FC236}">
              <a16:creationId xmlns:a16="http://schemas.microsoft.com/office/drawing/2014/main" id="{9F66B826-4002-4E58-A810-834B48526540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571</xdr:row>
      <xdr:rowOff>0</xdr:rowOff>
    </xdr:from>
    <xdr:to>
      <xdr:col>24</xdr:col>
      <xdr:colOff>83820</xdr:colOff>
      <xdr:row>571</xdr:row>
      <xdr:rowOff>114300</xdr:rowOff>
    </xdr:to>
    <xdr:sp macro="" textlink="">
      <xdr:nvSpPr>
        <xdr:cNvPr id="4302" name="Arrow: Down 4301">
          <a:extLst>
            <a:ext uri="{FF2B5EF4-FFF2-40B4-BE49-F238E27FC236}">
              <a16:creationId xmlns:a16="http://schemas.microsoft.com/office/drawing/2014/main" id="{7DC0780B-0143-4065-AF3F-FB2F1CB94366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571</xdr:row>
      <xdr:rowOff>0</xdr:rowOff>
    </xdr:from>
    <xdr:to>
      <xdr:col>39</xdr:col>
      <xdr:colOff>83820</xdr:colOff>
      <xdr:row>571</xdr:row>
      <xdr:rowOff>114300</xdr:rowOff>
    </xdr:to>
    <xdr:sp macro="" textlink="">
      <xdr:nvSpPr>
        <xdr:cNvPr id="4303" name="Arrow: Down 4302">
          <a:extLst>
            <a:ext uri="{FF2B5EF4-FFF2-40B4-BE49-F238E27FC236}">
              <a16:creationId xmlns:a16="http://schemas.microsoft.com/office/drawing/2014/main" id="{D77AAF3F-8933-4B90-946F-C94463C3745F}"/>
            </a:ext>
          </a:extLst>
        </xdr:cNvPr>
        <xdr:cNvSpPr/>
      </xdr:nvSpPr>
      <xdr:spPr>
        <a:xfrm>
          <a:off x="11544300" y="10452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571</xdr:row>
      <xdr:rowOff>0</xdr:rowOff>
    </xdr:from>
    <xdr:to>
      <xdr:col>71</xdr:col>
      <xdr:colOff>83820</xdr:colOff>
      <xdr:row>571</xdr:row>
      <xdr:rowOff>114300</xdr:rowOff>
    </xdr:to>
    <xdr:sp macro="" textlink="">
      <xdr:nvSpPr>
        <xdr:cNvPr id="4304" name="Arrow: Down 4303">
          <a:extLst>
            <a:ext uri="{FF2B5EF4-FFF2-40B4-BE49-F238E27FC236}">
              <a16:creationId xmlns:a16="http://schemas.microsoft.com/office/drawing/2014/main" id="{1EDD676E-C4D8-4EAC-B163-5E34640C3807}"/>
            </a:ext>
          </a:extLst>
        </xdr:cNvPr>
        <xdr:cNvSpPr/>
      </xdr:nvSpPr>
      <xdr:spPr>
        <a:xfrm>
          <a:off x="2180082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571</xdr:row>
      <xdr:rowOff>0</xdr:rowOff>
    </xdr:from>
    <xdr:to>
      <xdr:col>60</xdr:col>
      <xdr:colOff>83820</xdr:colOff>
      <xdr:row>571</xdr:row>
      <xdr:rowOff>114300</xdr:rowOff>
    </xdr:to>
    <xdr:sp macro="" textlink="">
      <xdr:nvSpPr>
        <xdr:cNvPr id="4306" name="Arrow: Down 4305">
          <a:extLst>
            <a:ext uri="{FF2B5EF4-FFF2-40B4-BE49-F238E27FC236}">
              <a16:creationId xmlns:a16="http://schemas.microsoft.com/office/drawing/2014/main" id="{8E14B01E-1FF3-408C-9354-052C1A5F1734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572</xdr:row>
      <xdr:rowOff>0</xdr:rowOff>
    </xdr:from>
    <xdr:to>
      <xdr:col>71</xdr:col>
      <xdr:colOff>83820</xdr:colOff>
      <xdr:row>572</xdr:row>
      <xdr:rowOff>114300</xdr:rowOff>
    </xdr:to>
    <xdr:sp macro="" textlink="">
      <xdr:nvSpPr>
        <xdr:cNvPr id="4312" name="Arrow: Down 4311">
          <a:extLst>
            <a:ext uri="{FF2B5EF4-FFF2-40B4-BE49-F238E27FC236}">
              <a16:creationId xmlns:a16="http://schemas.microsoft.com/office/drawing/2014/main" id="{11710177-71D1-4175-B255-6CD123A0FFB2}"/>
            </a:ext>
          </a:extLst>
        </xdr:cNvPr>
        <xdr:cNvSpPr/>
      </xdr:nvSpPr>
      <xdr:spPr>
        <a:xfrm>
          <a:off x="2180082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572</xdr:row>
      <xdr:rowOff>0</xdr:rowOff>
    </xdr:from>
    <xdr:to>
      <xdr:col>60</xdr:col>
      <xdr:colOff>83820</xdr:colOff>
      <xdr:row>572</xdr:row>
      <xdr:rowOff>114300</xdr:rowOff>
    </xdr:to>
    <xdr:sp macro="" textlink="">
      <xdr:nvSpPr>
        <xdr:cNvPr id="4313" name="Arrow: Down 4312">
          <a:extLst>
            <a:ext uri="{FF2B5EF4-FFF2-40B4-BE49-F238E27FC236}">
              <a16:creationId xmlns:a16="http://schemas.microsoft.com/office/drawing/2014/main" id="{5D715DCA-9D1F-436F-800E-DBA013F43345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572</xdr:row>
      <xdr:rowOff>0</xdr:rowOff>
    </xdr:from>
    <xdr:to>
      <xdr:col>11</xdr:col>
      <xdr:colOff>83820</xdr:colOff>
      <xdr:row>572</xdr:row>
      <xdr:rowOff>114300</xdr:rowOff>
    </xdr:to>
    <xdr:sp macro="" textlink="">
      <xdr:nvSpPr>
        <xdr:cNvPr id="4314" name="Arrow: Down 4313">
          <a:extLst>
            <a:ext uri="{FF2B5EF4-FFF2-40B4-BE49-F238E27FC236}">
              <a16:creationId xmlns:a16="http://schemas.microsoft.com/office/drawing/2014/main" id="{1402CF84-4D5A-4505-9756-E0B79AD8B87E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572</xdr:row>
      <xdr:rowOff>0</xdr:rowOff>
    </xdr:from>
    <xdr:to>
      <xdr:col>5</xdr:col>
      <xdr:colOff>83820</xdr:colOff>
      <xdr:row>572</xdr:row>
      <xdr:rowOff>114300</xdr:rowOff>
    </xdr:to>
    <xdr:sp macro="" textlink="">
      <xdr:nvSpPr>
        <xdr:cNvPr id="4315" name="Arrow: Down 4314">
          <a:extLst>
            <a:ext uri="{FF2B5EF4-FFF2-40B4-BE49-F238E27FC236}">
              <a16:creationId xmlns:a16="http://schemas.microsoft.com/office/drawing/2014/main" id="{301467C9-3C90-4A14-982C-7E260C31E6EC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572</xdr:row>
      <xdr:rowOff>0</xdr:rowOff>
    </xdr:from>
    <xdr:to>
      <xdr:col>24</xdr:col>
      <xdr:colOff>83820</xdr:colOff>
      <xdr:row>572</xdr:row>
      <xdr:rowOff>114300</xdr:rowOff>
    </xdr:to>
    <xdr:sp macro="" textlink="">
      <xdr:nvSpPr>
        <xdr:cNvPr id="4317" name="Arrow: Down 4316">
          <a:extLst>
            <a:ext uri="{FF2B5EF4-FFF2-40B4-BE49-F238E27FC236}">
              <a16:creationId xmlns:a16="http://schemas.microsoft.com/office/drawing/2014/main" id="{BF777BD3-E75C-4B96-8F1F-F65F77C2BC49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572</xdr:row>
      <xdr:rowOff>0</xdr:rowOff>
    </xdr:from>
    <xdr:to>
      <xdr:col>39</xdr:col>
      <xdr:colOff>83820</xdr:colOff>
      <xdr:row>572</xdr:row>
      <xdr:rowOff>114300</xdr:rowOff>
    </xdr:to>
    <xdr:sp macro="" textlink="">
      <xdr:nvSpPr>
        <xdr:cNvPr id="4318" name="Arrow: Down 4317">
          <a:extLst>
            <a:ext uri="{FF2B5EF4-FFF2-40B4-BE49-F238E27FC236}">
              <a16:creationId xmlns:a16="http://schemas.microsoft.com/office/drawing/2014/main" id="{1674D12F-6C50-4507-BE00-AEE0C09B3E41}"/>
            </a:ext>
          </a:extLst>
        </xdr:cNvPr>
        <xdr:cNvSpPr/>
      </xdr:nvSpPr>
      <xdr:spPr>
        <a:xfrm rot="10800000">
          <a:off x="1154430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572</xdr:row>
      <xdr:rowOff>0</xdr:rowOff>
    </xdr:from>
    <xdr:to>
      <xdr:col>45</xdr:col>
      <xdr:colOff>83820</xdr:colOff>
      <xdr:row>572</xdr:row>
      <xdr:rowOff>114300</xdr:rowOff>
    </xdr:to>
    <xdr:sp macro="" textlink="">
      <xdr:nvSpPr>
        <xdr:cNvPr id="4320" name="Arrow: Down 4319">
          <a:extLst>
            <a:ext uri="{FF2B5EF4-FFF2-40B4-BE49-F238E27FC236}">
              <a16:creationId xmlns:a16="http://schemas.microsoft.com/office/drawing/2014/main" id="{C9491980-0966-42FE-BCEB-D88DAB8AF6B2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573</xdr:row>
      <xdr:rowOff>0</xdr:rowOff>
    </xdr:from>
    <xdr:to>
      <xdr:col>11</xdr:col>
      <xdr:colOff>83820</xdr:colOff>
      <xdr:row>573</xdr:row>
      <xdr:rowOff>114300</xdr:rowOff>
    </xdr:to>
    <xdr:sp macro="" textlink="">
      <xdr:nvSpPr>
        <xdr:cNvPr id="4323" name="Arrow: Down 4322">
          <a:extLst>
            <a:ext uri="{FF2B5EF4-FFF2-40B4-BE49-F238E27FC236}">
              <a16:creationId xmlns:a16="http://schemas.microsoft.com/office/drawing/2014/main" id="{88CB13CC-42EF-4F46-A1B8-F49D03AED917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573</xdr:row>
      <xdr:rowOff>0</xdr:rowOff>
    </xdr:from>
    <xdr:to>
      <xdr:col>5</xdr:col>
      <xdr:colOff>83820</xdr:colOff>
      <xdr:row>573</xdr:row>
      <xdr:rowOff>114300</xdr:rowOff>
    </xdr:to>
    <xdr:sp macro="" textlink="">
      <xdr:nvSpPr>
        <xdr:cNvPr id="4324" name="Arrow: Down 4323">
          <a:extLst>
            <a:ext uri="{FF2B5EF4-FFF2-40B4-BE49-F238E27FC236}">
              <a16:creationId xmlns:a16="http://schemas.microsoft.com/office/drawing/2014/main" id="{FED33F04-A8FC-4C2A-90E8-92A78B34D1D0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573</xdr:row>
      <xdr:rowOff>0</xdr:rowOff>
    </xdr:from>
    <xdr:to>
      <xdr:col>24</xdr:col>
      <xdr:colOff>83820</xdr:colOff>
      <xdr:row>573</xdr:row>
      <xdr:rowOff>114300</xdr:rowOff>
    </xdr:to>
    <xdr:sp macro="" textlink="">
      <xdr:nvSpPr>
        <xdr:cNvPr id="4325" name="Arrow: Down 4324">
          <a:extLst>
            <a:ext uri="{FF2B5EF4-FFF2-40B4-BE49-F238E27FC236}">
              <a16:creationId xmlns:a16="http://schemas.microsoft.com/office/drawing/2014/main" id="{439C9AB4-73C6-4B9B-9025-DDD2A58EAAB8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573</xdr:row>
      <xdr:rowOff>0</xdr:rowOff>
    </xdr:from>
    <xdr:to>
      <xdr:col>45</xdr:col>
      <xdr:colOff>83820</xdr:colOff>
      <xdr:row>573</xdr:row>
      <xdr:rowOff>114300</xdr:rowOff>
    </xdr:to>
    <xdr:sp macro="" textlink="">
      <xdr:nvSpPr>
        <xdr:cNvPr id="4327" name="Arrow: Down 4326">
          <a:extLst>
            <a:ext uri="{FF2B5EF4-FFF2-40B4-BE49-F238E27FC236}">
              <a16:creationId xmlns:a16="http://schemas.microsoft.com/office/drawing/2014/main" id="{4C9B70FA-2A25-49B0-81F7-2C34AA73B4B3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573</xdr:row>
      <xdr:rowOff>0</xdr:rowOff>
    </xdr:from>
    <xdr:to>
      <xdr:col>39</xdr:col>
      <xdr:colOff>83820</xdr:colOff>
      <xdr:row>573</xdr:row>
      <xdr:rowOff>114300</xdr:rowOff>
    </xdr:to>
    <xdr:sp macro="" textlink="">
      <xdr:nvSpPr>
        <xdr:cNvPr id="4328" name="Arrow: Down 4327">
          <a:extLst>
            <a:ext uri="{FF2B5EF4-FFF2-40B4-BE49-F238E27FC236}">
              <a16:creationId xmlns:a16="http://schemas.microsoft.com/office/drawing/2014/main" id="{35A3F5C4-E35F-4A99-AD44-7A032E414198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573</xdr:row>
      <xdr:rowOff>0</xdr:rowOff>
    </xdr:from>
    <xdr:to>
      <xdr:col>60</xdr:col>
      <xdr:colOff>83820</xdr:colOff>
      <xdr:row>573</xdr:row>
      <xdr:rowOff>114300</xdr:rowOff>
    </xdr:to>
    <xdr:sp macro="" textlink="">
      <xdr:nvSpPr>
        <xdr:cNvPr id="4329" name="Arrow: Down 4328">
          <a:extLst>
            <a:ext uri="{FF2B5EF4-FFF2-40B4-BE49-F238E27FC236}">
              <a16:creationId xmlns:a16="http://schemas.microsoft.com/office/drawing/2014/main" id="{EA8479D5-4171-477D-8251-8D8DABAA98A0}"/>
            </a:ext>
          </a:extLst>
        </xdr:cNvPr>
        <xdr:cNvSpPr/>
      </xdr:nvSpPr>
      <xdr:spPr>
        <a:xfrm rot="10800000">
          <a:off x="190804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573</xdr:row>
      <xdr:rowOff>0</xdr:rowOff>
    </xdr:from>
    <xdr:to>
      <xdr:col>71</xdr:col>
      <xdr:colOff>83820</xdr:colOff>
      <xdr:row>573</xdr:row>
      <xdr:rowOff>114300</xdr:rowOff>
    </xdr:to>
    <xdr:sp macro="" textlink="">
      <xdr:nvSpPr>
        <xdr:cNvPr id="4330" name="Arrow: Down 4329">
          <a:extLst>
            <a:ext uri="{FF2B5EF4-FFF2-40B4-BE49-F238E27FC236}">
              <a16:creationId xmlns:a16="http://schemas.microsoft.com/office/drawing/2014/main" id="{57AA132E-A777-499F-9B55-E9715BB0B0E8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574</xdr:row>
      <xdr:rowOff>0</xdr:rowOff>
    </xdr:from>
    <xdr:to>
      <xdr:col>11</xdr:col>
      <xdr:colOff>83820</xdr:colOff>
      <xdr:row>574</xdr:row>
      <xdr:rowOff>114300</xdr:rowOff>
    </xdr:to>
    <xdr:sp macro="" textlink="">
      <xdr:nvSpPr>
        <xdr:cNvPr id="4331" name="Arrow: Down 4330">
          <a:extLst>
            <a:ext uri="{FF2B5EF4-FFF2-40B4-BE49-F238E27FC236}">
              <a16:creationId xmlns:a16="http://schemas.microsoft.com/office/drawing/2014/main" id="{C3A0E379-16DE-4569-BDAD-A0F2E51A6B04}"/>
            </a:ext>
          </a:extLst>
        </xdr:cNvPr>
        <xdr:cNvSpPr/>
      </xdr:nvSpPr>
      <xdr:spPr>
        <a:xfrm rot="10800000">
          <a:off x="36957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574</xdr:row>
      <xdr:rowOff>0</xdr:rowOff>
    </xdr:from>
    <xdr:to>
      <xdr:col>5</xdr:col>
      <xdr:colOff>83820</xdr:colOff>
      <xdr:row>574</xdr:row>
      <xdr:rowOff>114300</xdr:rowOff>
    </xdr:to>
    <xdr:sp macro="" textlink="">
      <xdr:nvSpPr>
        <xdr:cNvPr id="4332" name="Arrow: Down 4331">
          <a:extLst>
            <a:ext uri="{FF2B5EF4-FFF2-40B4-BE49-F238E27FC236}">
              <a16:creationId xmlns:a16="http://schemas.microsoft.com/office/drawing/2014/main" id="{050A156A-57EE-4637-B944-13E8A0780AD5}"/>
            </a:ext>
          </a:extLst>
        </xdr:cNvPr>
        <xdr:cNvSpPr/>
      </xdr:nvSpPr>
      <xdr:spPr>
        <a:xfrm rot="10800000">
          <a:off x="192786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574</xdr:row>
      <xdr:rowOff>0</xdr:rowOff>
    </xdr:from>
    <xdr:to>
      <xdr:col>24</xdr:col>
      <xdr:colOff>83820</xdr:colOff>
      <xdr:row>574</xdr:row>
      <xdr:rowOff>114300</xdr:rowOff>
    </xdr:to>
    <xdr:sp macro="" textlink="">
      <xdr:nvSpPr>
        <xdr:cNvPr id="4333" name="Arrow: Down 4332">
          <a:extLst>
            <a:ext uri="{FF2B5EF4-FFF2-40B4-BE49-F238E27FC236}">
              <a16:creationId xmlns:a16="http://schemas.microsoft.com/office/drawing/2014/main" id="{F22BB1BA-FEC0-4B71-808A-8C26F9DD32AC}"/>
            </a:ext>
          </a:extLst>
        </xdr:cNvPr>
        <xdr:cNvSpPr/>
      </xdr:nvSpPr>
      <xdr:spPr>
        <a:xfrm rot="10800000">
          <a:off x="83362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574</xdr:row>
      <xdr:rowOff>0</xdr:rowOff>
    </xdr:from>
    <xdr:to>
      <xdr:col>45</xdr:col>
      <xdr:colOff>83820</xdr:colOff>
      <xdr:row>574</xdr:row>
      <xdr:rowOff>114300</xdr:rowOff>
    </xdr:to>
    <xdr:sp macro="" textlink="">
      <xdr:nvSpPr>
        <xdr:cNvPr id="4334" name="Arrow: Down 4333">
          <a:extLst>
            <a:ext uri="{FF2B5EF4-FFF2-40B4-BE49-F238E27FC236}">
              <a16:creationId xmlns:a16="http://schemas.microsoft.com/office/drawing/2014/main" id="{2382DDA1-D5C2-408C-9669-43898D080484}"/>
            </a:ext>
          </a:extLst>
        </xdr:cNvPr>
        <xdr:cNvSpPr/>
      </xdr:nvSpPr>
      <xdr:spPr>
        <a:xfrm rot="10800000">
          <a:off x="13403580" y="10488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574</xdr:row>
      <xdr:rowOff>0</xdr:rowOff>
    </xdr:from>
    <xdr:to>
      <xdr:col>39</xdr:col>
      <xdr:colOff>83820</xdr:colOff>
      <xdr:row>574</xdr:row>
      <xdr:rowOff>114300</xdr:rowOff>
    </xdr:to>
    <xdr:sp macro="" textlink="">
      <xdr:nvSpPr>
        <xdr:cNvPr id="4335" name="Arrow: Down 4334">
          <a:extLst>
            <a:ext uri="{FF2B5EF4-FFF2-40B4-BE49-F238E27FC236}">
              <a16:creationId xmlns:a16="http://schemas.microsoft.com/office/drawing/2014/main" id="{B24EE01A-60B9-4380-A82A-C002289EF011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574</xdr:row>
      <xdr:rowOff>0</xdr:rowOff>
    </xdr:from>
    <xdr:to>
      <xdr:col>71</xdr:col>
      <xdr:colOff>83820</xdr:colOff>
      <xdr:row>574</xdr:row>
      <xdr:rowOff>114300</xdr:rowOff>
    </xdr:to>
    <xdr:sp macro="" textlink="">
      <xdr:nvSpPr>
        <xdr:cNvPr id="4337" name="Arrow: Down 4336">
          <a:extLst>
            <a:ext uri="{FF2B5EF4-FFF2-40B4-BE49-F238E27FC236}">
              <a16:creationId xmlns:a16="http://schemas.microsoft.com/office/drawing/2014/main" id="{DEDAF4D3-AA28-4F1E-886C-68793B735386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574</xdr:row>
      <xdr:rowOff>0</xdr:rowOff>
    </xdr:from>
    <xdr:to>
      <xdr:col>60</xdr:col>
      <xdr:colOff>83820</xdr:colOff>
      <xdr:row>574</xdr:row>
      <xdr:rowOff>114300</xdr:rowOff>
    </xdr:to>
    <xdr:sp macro="" textlink="">
      <xdr:nvSpPr>
        <xdr:cNvPr id="4338" name="Arrow: Down 4337">
          <a:extLst>
            <a:ext uri="{FF2B5EF4-FFF2-40B4-BE49-F238E27FC236}">
              <a16:creationId xmlns:a16="http://schemas.microsoft.com/office/drawing/2014/main" id="{2EA0EF67-56D5-46DF-80FC-3D0125216242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575</xdr:row>
      <xdr:rowOff>0</xdr:rowOff>
    </xdr:from>
    <xdr:to>
      <xdr:col>11</xdr:col>
      <xdr:colOff>83820</xdr:colOff>
      <xdr:row>575</xdr:row>
      <xdr:rowOff>114300</xdr:rowOff>
    </xdr:to>
    <xdr:sp macro="" textlink="">
      <xdr:nvSpPr>
        <xdr:cNvPr id="4088" name="Arrow: Down 4087">
          <a:extLst>
            <a:ext uri="{FF2B5EF4-FFF2-40B4-BE49-F238E27FC236}">
              <a16:creationId xmlns:a16="http://schemas.microsoft.com/office/drawing/2014/main" id="{07798C98-D349-4D91-A4C3-9DD185208C03}"/>
            </a:ext>
          </a:extLst>
        </xdr:cNvPr>
        <xdr:cNvSpPr/>
      </xdr:nvSpPr>
      <xdr:spPr>
        <a:xfrm rot="10800000">
          <a:off x="36957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575</xdr:row>
      <xdr:rowOff>0</xdr:rowOff>
    </xdr:from>
    <xdr:to>
      <xdr:col>5</xdr:col>
      <xdr:colOff>83820</xdr:colOff>
      <xdr:row>575</xdr:row>
      <xdr:rowOff>114300</xdr:rowOff>
    </xdr:to>
    <xdr:sp macro="" textlink="">
      <xdr:nvSpPr>
        <xdr:cNvPr id="4107" name="Arrow: Down 4106">
          <a:extLst>
            <a:ext uri="{FF2B5EF4-FFF2-40B4-BE49-F238E27FC236}">
              <a16:creationId xmlns:a16="http://schemas.microsoft.com/office/drawing/2014/main" id="{162BD30D-2ECC-4B0D-AB05-5A3C566711C6}"/>
            </a:ext>
          </a:extLst>
        </xdr:cNvPr>
        <xdr:cNvSpPr/>
      </xdr:nvSpPr>
      <xdr:spPr>
        <a:xfrm rot="10800000">
          <a:off x="192786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575</xdr:row>
      <xdr:rowOff>0</xdr:rowOff>
    </xdr:from>
    <xdr:to>
      <xdr:col>39</xdr:col>
      <xdr:colOff>83820</xdr:colOff>
      <xdr:row>575</xdr:row>
      <xdr:rowOff>114300</xdr:rowOff>
    </xdr:to>
    <xdr:sp macro="" textlink="">
      <xdr:nvSpPr>
        <xdr:cNvPr id="4210" name="Arrow: Down 4209">
          <a:extLst>
            <a:ext uri="{FF2B5EF4-FFF2-40B4-BE49-F238E27FC236}">
              <a16:creationId xmlns:a16="http://schemas.microsoft.com/office/drawing/2014/main" id="{1385F6DA-7E90-486C-98D3-4A4FA34372B8}"/>
            </a:ext>
          </a:extLst>
        </xdr:cNvPr>
        <xdr:cNvSpPr/>
      </xdr:nvSpPr>
      <xdr:spPr>
        <a:xfrm>
          <a:off x="115443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575</xdr:row>
      <xdr:rowOff>0</xdr:rowOff>
    </xdr:from>
    <xdr:to>
      <xdr:col>60</xdr:col>
      <xdr:colOff>83820</xdr:colOff>
      <xdr:row>575</xdr:row>
      <xdr:rowOff>114300</xdr:rowOff>
    </xdr:to>
    <xdr:sp macro="" textlink="">
      <xdr:nvSpPr>
        <xdr:cNvPr id="4256" name="Arrow: Down 4255">
          <a:extLst>
            <a:ext uri="{FF2B5EF4-FFF2-40B4-BE49-F238E27FC236}">
              <a16:creationId xmlns:a16="http://schemas.microsoft.com/office/drawing/2014/main" id="{60C11F50-EEF1-45DE-B8F3-1004712CA715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575</xdr:row>
      <xdr:rowOff>0</xdr:rowOff>
    </xdr:from>
    <xdr:to>
      <xdr:col>24</xdr:col>
      <xdr:colOff>83820</xdr:colOff>
      <xdr:row>575</xdr:row>
      <xdr:rowOff>114300</xdr:rowOff>
    </xdr:to>
    <xdr:sp macro="" textlink="">
      <xdr:nvSpPr>
        <xdr:cNvPr id="4263" name="Arrow: Down 4262">
          <a:extLst>
            <a:ext uri="{FF2B5EF4-FFF2-40B4-BE49-F238E27FC236}">
              <a16:creationId xmlns:a16="http://schemas.microsoft.com/office/drawing/2014/main" id="{02B81230-50EE-4B49-B68A-6CF3F708A3B8}"/>
            </a:ext>
          </a:extLst>
        </xdr:cNvPr>
        <xdr:cNvSpPr/>
      </xdr:nvSpPr>
      <xdr:spPr>
        <a:xfrm>
          <a:off x="83362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575</xdr:row>
      <xdr:rowOff>0</xdr:rowOff>
    </xdr:from>
    <xdr:to>
      <xdr:col>45</xdr:col>
      <xdr:colOff>83820</xdr:colOff>
      <xdr:row>575</xdr:row>
      <xdr:rowOff>114300</xdr:rowOff>
    </xdr:to>
    <xdr:sp macro="" textlink="">
      <xdr:nvSpPr>
        <xdr:cNvPr id="4266" name="Arrow: Down 4265">
          <a:extLst>
            <a:ext uri="{FF2B5EF4-FFF2-40B4-BE49-F238E27FC236}">
              <a16:creationId xmlns:a16="http://schemas.microsoft.com/office/drawing/2014/main" id="{FCDF13DC-B4E4-46A0-9BB2-D7777E5C47A2}"/>
            </a:ext>
          </a:extLst>
        </xdr:cNvPr>
        <xdr:cNvSpPr/>
      </xdr:nvSpPr>
      <xdr:spPr>
        <a:xfrm>
          <a:off x="13403580" y="10525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575</xdr:row>
      <xdr:rowOff>0</xdr:rowOff>
    </xdr:from>
    <xdr:to>
      <xdr:col>71</xdr:col>
      <xdr:colOff>83820</xdr:colOff>
      <xdr:row>575</xdr:row>
      <xdr:rowOff>114300</xdr:rowOff>
    </xdr:to>
    <xdr:sp macro="" textlink="">
      <xdr:nvSpPr>
        <xdr:cNvPr id="4267" name="Arrow: Down 4266">
          <a:extLst>
            <a:ext uri="{FF2B5EF4-FFF2-40B4-BE49-F238E27FC236}">
              <a16:creationId xmlns:a16="http://schemas.microsoft.com/office/drawing/2014/main" id="{3FBCDE42-FCB2-4AEF-98D8-89EC5CDECEA3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576</xdr:row>
      <xdr:rowOff>0</xdr:rowOff>
    </xdr:from>
    <xdr:to>
      <xdr:col>60</xdr:col>
      <xdr:colOff>83820</xdr:colOff>
      <xdr:row>576</xdr:row>
      <xdr:rowOff>114300</xdr:rowOff>
    </xdr:to>
    <xdr:sp macro="" textlink="">
      <xdr:nvSpPr>
        <xdr:cNvPr id="4299" name="Arrow: Down 4298">
          <a:extLst>
            <a:ext uri="{FF2B5EF4-FFF2-40B4-BE49-F238E27FC236}">
              <a16:creationId xmlns:a16="http://schemas.microsoft.com/office/drawing/2014/main" id="{3B86023A-FB62-4A3A-9DE2-0217998D4AA5}"/>
            </a:ext>
          </a:extLst>
        </xdr:cNvPr>
        <xdr:cNvSpPr/>
      </xdr:nvSpPr>
      <xdr:spPr>
        <a:xfrm>
          <a:off x="190804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576</xdr:row>
      <xdr:rowOff>0</xdr:rowOff>
    </xdr:from>
    <xdr:to>
      <xdr:col>71</xdr:col>
      <xdr:colOff>83820</xdr:colOff>
      <xdr:row>576</xdr:row>
      <xdr:rowOff>114300</xdr:rowOff>
    </xdr:to>
    <xdr:sp macro="" textlink="">
      <xdr:nvSpPr>
        <xdr:cNvPr id="4308" name="Arrow: Down 4307">
          <a:extLst>
            <a:ext uri="{FF2B5EF4-FFF2-40B4-BE49-F238E27FC236}">
              <a16:creationId xmlns:a16="http://schemas.microsoft.com/office/drawing/2014/main" id="{C79E1682-2112-49DB-B49F-D7036FAD1702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576</xdr:row>
      <xdr:rowOff>0</xdr:rowOff>
    </xdr:from>
    <xdr:to>
      <xdr:col>24</xdr:col>
      <xdr:colOff>83820</xdr:colOff>
      <xdr:row>576</xdr:row>
      <xdr:rowOff>114300</xdr:rowOff>
    </xdr:to>
    <xdr:sp macro="" textlink="">
      <xdr:nvSpPr>
        <xdr:cNvPr id="4310" name="Arrow: Down 4309">
          <a:extLst>
            <a:ext uri="{FF2B5EF4-FFF2-40B4-BE49-F238E27FC236}">
              <a16:creationId xmlns:a16="http://schemas.microsoft.com/office/drawing/2014/main" id="{E3F38425-702E-42B9-834A-E5F87AB2432F}"/>
            </a:ext>
          </a:extLst>
        </xdr:cNvPr>
        <xdr:cNvSpPr/>
      </xdr:nvSpPr>
      <xdr:spPr>
        <a:xfrm rot="10800000">
          <a:off x="8336280" y="10543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576</xdr:row>
      <xdr:rowOff>0</xdr:rowOff>
    </xdr:from>
    <xdr:to>
      <xdr:col>11</xdr:col>
      <xdr:colOff>83820</xdr:colOff>
      <xdr:row>576</xdr:row>
      <xdr:rowOff>114300</xdr:rowOff>
    </xdr:to>
    <xdr:sp macro="" textlink="">
      <xdr:nvSpPr>
        <xdr:cNvPr id="4311" name="Arrow: Down 4310">
          <a:extLst>
            <a:ext uri="{FF2B5EF4-FFF2-40B4-BE49-F238E27FC236}">
              <a16:creationId xmlns:a16="http://schemas.microsoft.com/office/drawing/2014/main" id="{82378136-28E4-41B5-A750-AF8D97187AAA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576</xdr:row>
      <xdr:rowOff>0</xdr:rowOff>
    </xdr:from>
    <xdr:to>
      <xdr:col>5</xdr:col>
      <xdr:colOff>83820</xdr:colOff>
      <xdr:row>576</xdr:row>
      <xdr:rowOff>114300</xdr:rowOff>
    </xdr:to>
    <xdr:sp macro="" textlink="">
      <xdr:nvSpPr>
        <xdr:cNvPr id="4316" name="Arrow: Down 4315">
          <a:extLst>
            <a:ext uri="{FF2B5EF4-FFF2-40B4-BE49-F238E27FC236}">
              <a16:creationId xmlns:a16="http://schemas.microsoft.com/office/drawing/2014/main" id="{509148CD-7B87-4314-928A-EBF1EF1A69B4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576</xdr:row>
      <xdr:rowOff>0</xdr:rowOff>
    </xdr:from>
    <xdr:to>
      <xdr:col>39</xdr:col>
      <xdr:colOff>83820</xdr:colOff>
      <xdr:row>576</xdr:row>
      <xdr:rowOff>114300</xdr:rowOff>
    </xdr:to>
    <xdr:sp macro="" textlink="">
      <xdr:nvSpPr>
        <xdr:cNvPr id="4319" name="Arrow: Down 4318">
          <a:extLst>
            <a:ext uri="{FF2B5EF4-FFF2-40B4-BE49-F238E27FC236}">
              <a16:creationId xmlns:a16="http://schemas.microsoft.com/office/drawing/2014/main" id="{EDEACB55-1F54-4A8B-B1FD-07DFA59FFA33}"/>
            </a:ext>
          </a:extLst>
        </xdr:cNvPr>
        <xdr:cNvSpPr/>
      </xdr:nvSpPr>
      <xdr:spPr>
        <a:xfrm rot="10800000">
          <a:off x="115443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576</xdr:row>
      <xdr:rowOff>0</xdr:rowOff>
    </xdr:from>
    <xdr:to>
      <xdr:col>45</xdr:col>
      <xdr:colOff>83820</xdr:colOff>
      <xdr:row>576</xdr:row>
      <xdr:rowOff>114300</xdr:rowOff>
    </xdr:to>
    <xdr:sp macro="" textlink="">
      <xdr:nvSpPr>
        <xdr:cNvPr id="4321" name="Arrow: Down 4320">
          <a:extLst>
            <a:ext uri="{FF2B5EF4-FFF2-40B4-BE49-F238E27FC236}">
              <a16:creationId xmlns:a16="http://schemas.microsoft.com/office/drawing/2014/main" id="{1576DC4F-A074-4175-93C9-19330188A587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577</xdr:row>
      <xdr:rowOff>0</xdr:rowOff>
    </xdr:from>
    <xdr:to>
      <xdr:col>11</xdr:col>
      <xdr:colOff>83820</xdr:colOff>
      <xdr:row>577</xdr:row>
      <xdr:rowOff>114300</xdr:rowOff>
    </xdr:to>
    <xdr:sp macro="" textlink="">
      <xdr:nvSpPr>
        <xdr:cNvPr id="4339" name="Arrow: Down 4338">
          <a:extLst>
            <a:ext uri="{FF2B5EF4-FFF2-40B4-BE49-F238E27FC236}">
              <a16:creationId xmlns:a16="http://schemas.microsoft.com/office/drawing/2014/main" id="{E5DCAFC6-981C-4C44-8C23-217252E49BE6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83820</xdr:colOff>
      <xdr:row>577</xdr:row>
      <xdr:rowOff>114300</xdr:rowOff>
    </xdr:to>
    <xdr:sp macro="" textlink="">
      <xdr:nvSpPr>
        <xdr:cNvPr id="4340" name="Arrow: Down 4339">
          <a:extLst>
            <a:ext uri="{FF2B5EF4-FFF2-40B4-BE49-F238E27FC236}">
              <a16:creationId xmlns:a16="http://schemas.microsoft.com/office/drawing/2014/main" id="{3C7A6DFA-FF0D-4A8E-A59E-E6F5F38A4468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577</xdr:row>
      <xdr:rowOff>0</xdr:rowOff>
    </xdr:from>
    <xdr:to>
      <xdr:col>45</xdr:col>
      <xdr:colOff>83820</xdr:colOff>
      <xdr:row>577</xdr:row>
      <xdr:rowOff>114300</xdr:rowOff>
    </xdr:to>
    <xdr:sp macro="" textlink="">
      <xdr:nvSpPr>
        <xdr:cNvPr id="4342" name="Arrow: Down 4341">
          <a:extLst>
            <a:ext uri="{FF2B5EF4-FFF2-40B4-BE49-F238E27FC236}">
              <a16:creationId xmlns:a16="http://schemas.microsoft.com/office/drawing/2014/main" id="{67DF1D2D-99CF-44D8-8714-AEA8C9B8D7BC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577</xdr:row>
      <xdr:rowOff>0</xdr:rowOff>
    </xdr:from>
    <xdr:to>
      <xdr:col>24</xdr:col>
      <xdr:colOff>83820</xdr:colOff>
      <xdr:row>577</xdr:row>
      <xdr:rowOff>114300</xdr:rowOff>
    </xdr:to>
    <xdr:sp macro="" textlink="">
      <xdr:nvSpPr>
        <xdr:cNvPr id="4343" name="Arrow: Down 4342">
          <a:extLst>
            <a:ext uri="{FF2B5EF4-FFF2-40B4-BE49-F238E27FC236}">
              <a16:creationId xmlns:a16="http://schemas.microsoft.com/office/drawing/2014/main" id="{EC68CBC1-ACAE-4339-8FA8-DAAF9674276E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577</xdr:row>
      <xdr:rowOff>0</xdr:rowOff>
    </xdr:from>
    <xdr:to>
      <xdr:col>39</xdr:col>
      <xdr:colOff>83820</xdr:colOff>
      <xdr:row>577</xdr:row>
      <xdr:rowOff>114300</xdr:rowOff>
    </xdr:to>
    <xdr:sp macro="" textlink="">
      <xdr:nvSpPr>
        <xdr:cNvPr id="4345" name="Arrow: Down 4344">
          <a:extLst>
            <a:ext uri="{FF2B5EF4-FFF2-40B4-BE49-F238E27FC236}">
              <a16:creationId xmlns:a16="http://schemas.microsoft.com/office/drawing/2014/main" id="{A2604B32-CE01-46AC-AF59-BE283E5FA31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577</xdr:row>
      <xdr:rowOff>0</xdr:rowOff>
    </xdr:from>
    <xdr:to>
      <xdr:col>71</xdr:col>
      <xdr:colOff>83820</xdr:colOff>
      <xdr:row>577</xdr:row>
      <xdr:rowOff>114300</xdr:rowOff>
    </xdr:to>
    <xdr:sp macro="" textlink="">
      <xdr:nvSpPr>
        <xdr:cNvPr id="4347" name="Arrow: Down 4346">
          <a:extLst>
            <a:ext uri="{FF2B5EF4-FFF2-40B4-BE49-F238E27FC236}">
              <a16:creationId xmlns:a16="http://schemas.microsoft.com/office/drawing/2014/main" id="{0BFA5CD9-2CFC-4F56-9F0F-2EBFC962F842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577</xdr:row>
      <xdr:rowOff>0</xdr:rowOff>
    </xdr:from>
    <xdr:to>
      <xdr:col>60</xdr:col>
      <xdr:colOff>83820</xdr:colOff>
      <xdr:row>577</xdr:row>
      <xdr:rowOff>114300</xdr:rowOff>
    </xdr:to>
    <xdr:sp macro="" textlink="">
      <xdr:nvSpPr>
        <xdr:cNvPr id="4348" name="Arrow: Down 4347">
          <a:extLst>
            <a:ext uri="{FF2B5EF4-FFF2-40B4-BE49-F238E27FC236}">
              <a16:creationId xmlns:a16="http://schemas.microsoft.com/office/drawing/2014/main" id="{C31B167C-203A-429C-8DF0-6C5C92EF502B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578</xdr:row>
      <xdr:rowOff>0</xdr:rowOff>
    </xdr:from>
    <xdr:to>
      <xdr:col>11</xdr:col>
      <xdr:colOff>83820</xdr:colOff>
      <xdr:row>578</xdr:row>
      <xdr:rowOff>114300</xdr:rowOff>
    </xdr:to>
    <xdr:sp macro="" textlink="">
      <xdr:nvSpPr>
        <xdr:cNvPr id="4307" name="Arrow: Down 4306">
          <a:extLst>
            <a:ext uri="{FF2B5EF4-FFF2-40B4-BE49-F238E27FC236}">
              <a16:creationId xmlns:a16="http://schemas.microsoft.com/office/drawing/2014/main" id="{AD205FEB-6360-46F0-9905-2CF39D22F204}"/>
            </a:ext>
          </a:extLst>
        </xdr:cNvPr>
        <xdr:cNvSpPr/>
      </xdr:nvSpPr>
      <xdr:spPr>
        <a:xfrm>
          <a:off x="369570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578</xdr:row>
      <xdr:rowOff>0</xdr:rowOff>
    </xdr:from>
    <xdr:to>
      <xdr:col>5</xdr:col>
      <xdr:colOff>83820</xdr:colOff>
      <xdr:row>578</xdr:row>
      <xdr:rowOff>114300</xdr:rowOff>
    </xdr:to>
    <xdr:sp macro="" textlink="">
      <xdr:nvSpPr>
        <xdr:cNvPr id="4309" name="Arrow: Down 4308">
          <a:extLst>
            <a:ext uri="{FF2B5EF4-FFF2-40B4-BE49-F238E27FC236}">
              <a16:creationId xmlns:a16="http://schemas.microsoft.com/office/drawing/2014/main" id="{4BC44BA9-D908-416D-AA44-BE3C1DC4B48C}"/>
            </a:ext>
          </a:extLst>
        </xdr:cNvPr>
        <xdr:cNvSpPr/>
      </xdr:nvSpPr>
      <xdr:spPr>
        <a:xfrm>
          <a:off x="192786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578</xdr:row>
      <xdr:rowOff>0</xdr:rowOff>
    </xdr:from>
    <xdr:to>
      <xdr:col>45</xdr:col>
      <xdr:colOff>83820</xdr:colOff>
      <xdr:row>578</xdr:row>
      <xdr:rowOff>114300</xdr:rowOff>
    </xdr:to>
    <xdr:sp macro="" textlink="">
      <xdr:nvSpPr>
        <xdr:cNvPr id="4322" name="Arrow: Down 4321">
          <a:extLst>
            <a:ext uri="{FF2B5EF4-FFF2-40B4-BE49-F238E27FC236}">
              <a16:creationId xmlns:a16="http://schemas.microsoft.com/office/drawing/2014/main" id="{B4F2AE33-6195-42F7-8C68-A2C6DB0B4947}"/>
            </a:ext>
          </a:extLst>
        </xdr:cNvPr>
        <xdr:cNvSpPr/>
      </xdr:nvSpPr>
      <xdr:spPr>
        <a:xfrm rot="10800000">
          <a:off x="134035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578</xdr:row>
      <xdr:rowOff>0</xdr:rowOff>
    </xdr:from>
    <xdr:to>
      <xdr:col>24</xdr:col>
      <xdr:colOff>83820</xdr:colOff>
      <xdr:row>578</xdr:row>
      <xdr:rowOff>114300</xdr:rowOff>
    </xdr:to>
    <xdr:sp macro="" textlink="">
      <xdr:nvSpPr>
        <xdr:cNvPr id="4326" name="Arrow: Down 4325">
          <a:extLst>
            <a:ext uri="{FF2B5EF4-FFF2-40B4-BE49-F238E27FC236}">
              <a16:creationId xmlns:a16="http://schemas.microsoft.com/office/drawing/2014/main" id="{DB9515DA-BB78-4873-B2AC-36FD8B3AACBB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578</xdr:row>
      <xdr:rowOff>0</xdr:rowOff>
    </xdr:from>
    <xdr:to>
      <xdr:col>39</xdr:col>
      <xdr:colOff>83820</xdr:colOff>
      <xdr:row>578</xdr:row>
      <xdr:rowOff>114300</xdr:rowOff>
    </xdr:to>
    <xdr:sp macro="" textlink="">
      <xdr:nvSpPr>
        <xdr:cNvPr id="4336" name="Arrow: Down 4335">
          <a:extLst>
            <a:ext uri="{FF2B5EF4-FFF2-40B4-BE49-F238E27FC236}">
              <a16:creationId xmlns:a16="http://schemas.microsoft.com/office/drawing/2014/main" id="{5636C1BB-C536-41BB-846E-BF64D1E5B76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578</xdr:row>
      <xdr:rowOff>0</xdr:rowOff>
    </xdr:from>
    <xdr:to>
      <xdr:col>71</xdr:col>
      <xdr:colOff>83820</xdr:colOff>
      <xdr:row>578</xdr:row>
      <xdr:rowOff>114300</xdr:rowOff>
    </xdr:to>
    <xdr:sp macro="" textlink="">
      <xdr:nvSpPr>
        <xdr:cNvPr id="4341" name="Arrow: Down 4340">
          <a:extLst>
            <a:ext uri="{FF2B5EF4-FFF2-40B4-BE49-F238E27FC236}">
              <a16:creationId xmlns:a16="http://schemas.microsoft.com/office/drawing/2014/main" id="{7609884D-0077-4BF4-B3D2-CB6216A8562D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578</xdr:row>
      <xdr:rowOff>0</xdr:rowOff>
    </xdr:from>
    <xdr:to>
      <xdr:col>60</xdr:col>
      <xdr:colOff>83820</xdr:colOff>
      <xdr:row>578</xdr:row>
      <xdr:rowOff>114300</xdr:rowOff>
    </xdr:to>
    <xdr:sp macro="" textlink="">
      <xdr:nvSpPr>
        <xdr:cNvPr id="4344" name="Arrow: Down 4343">
          <a:extLst>
            <a:ext uri="{FF2B5EF4-FFF2-40B4-BE49-F238E27FC236}">
              <a16:creationId xmlns:a16="http://schemas.microsoft.com/office/drawing/2014/main" id="{E2003479-3DA6-4F88-82DF-2757E00DB55A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579</xdr:row>
      <xdr:rowOff>0</xdr:rowOff>
    </xdr:from>
    <xdr:to>
      <xdr:col>45</xdr:col>
      <xdr:colOff>83820</xdr:colOff>
      <xdr:row>579</xdr:row>
      <xdr:rowOff>114300</xdr:rowOff>
    </xdr:to>
    <xdr:sp macro="" textlink="">
      <xdr:nvSpPr>
        <xdr:cNvPr id="4250" name="Arrow: Down 4249">
          <a:extLst>
            <a:ext uri="{FF2B5EF4-FFF2-40B4-BE49-F238E27FC236}">
              <a16:creationId xmlns:a16="http://schemas.microsoft.com/office/drawing/2014/main" id="{88B9FAC8-C4B9-4A3C-9839-C7D04358D843}"/>
            </a:ext>
          </a:extLst>
        </xdr:cNvPr>
        <xdr:cNvSpPr/>
      </xdr:nvSpPr>
      <xdr:spPr>
        <a:xfrm rot="10800000">
          <a:off x="13403580" y="10580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580</xdr:row>
      <xdr:rowOff>0</xdr:rowOff>
    </xdr:from>
    <xdr:to>
      <xdr:col>45</xdr:col>
      <xdr:colOff>83820</xdr:colOff>
      <xdr:row>580</xdr:row>
      <xdr:rowOff>114300</xdr:rowOff>
    </xdr:to>
    <xdr:sp macro="" textlink="">
      <xdr:nvSpPr>
        <xdr:cNvPr id="4346" name="Arrow: Down 4345">
          <a:extLst>
            <a:ext uri="{FF2B5EF4-FFF2-40B4-BE49-F238E27FC236}">
              <a16:creationId xmlns:a16="http://schemas.microsoft.com/office/drawing/2014/main" id="{9E4F3E59-55A5-4618-B23C-3594040B63CD}"/>
            </a:ext>
          </a:extLst>
        </xdr:cNvPr>
        <xdr:cNvSpPr/>
      </xdr:nvSpPr>
      <xdr:spPr>
        <a:xfrm rot="10800000">
          <a:off x="134035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580</xdr:row>
      <xdr:rowOff>0</xdr:rowOff>
    </xdr:from>
    <xdr:to>
      <xdr:col>39</xdr:col>
      <xdr:colOff>83820</xdr:colOff>
      <xdr:row>580</xdr:row>
      <xdr:rowOff>114300</xdr:rowOff>
    </xdr:to>
    <xdr:sp macro="" textlink="">
      <xdr:nvSpPr>
        <xdr:cNvPr id="4349" name="Arrow: Down 4348">
          <a:extLst>
            <a:ext uri="{FF2B5EF4-FFF2-40B4-BE49-F238E27FC236}">
              <a16:creationId xmlns:a16="http://schemas.microsoft.com/office/drawing/2014/main" id="{994A293A-1B8E-413D-B0EC-05B8C4AAC692}"/>
            </a:ext>
          </a:extLst>
        </xdr:cNvPr>
        <xdr:cNvSpPr/>
      </xdr:nvSpPr>
      <xdr:spPr>
        <a:xfrm>
          <a:off x="115443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581</xdr:row>
      <xdr:rowOff>0</xdr:rowOff>
    </xdr:from>
    <xdr:to>
      <xdr:col>45</xdr:col>
      <xdr:colOff>83820</xdr:colOff>
      <xdr:row>581</xdr:row>
      <xdr:rowOff>114300</xdr:rowOff>
    </xdr:to>
    <xdr:sp macro="" textlink="">
      <xdr:nvSpPr>
        <xdr:cNvPr id="4350" name="Arrow: Down 4349">
          <a:extLst>
            <a:ext uri="{FF2B5EF4-FFF2-40B4-BE49-F238E27FC236}">
              <a16:creationId xmlns:a16="http://schemas.microsoft.com/office/drawing/2014/main" id="{224A09E6-8B50-4C93-B93D-FAAA5D9B1239}"/>
            </a:ext>
          </a:extLst>
        </xdr:cNvPr>
        <xdr:cNvSpPr/>
      </xdr:nvSpPr>
      <xdr:spPr>
        <a:xfrm rot="10800000">
          <a:off x="134035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581</xdr:row>
      <xdr:rowOff>0</xdr:rowOff>
    </xdr:from>
    <xdr:to>
      <xdr:col>39</xdr:col>
      <xdr:colOff>83820</xdr:colOff>
      <xdr:row>581</xdr:row>
      <xdr:rowOff>114300</xdr:rowOff>
    </xdr:to>
    <xdr:sp macro="" textlink="">
      <xdr:nvSpPr>
        <xdr:cNvPr id="4351" name="Arrow: Down 4350">
          <a:extLst>
            <a:ext uri="{FF2B5EF4-FFF2-40B4-BE49-F238E27FC236}">
              <a16:creationId xmlns:a16="http://schemas.microsoft.com/office/drawing/2014/main" id="{BCBE9D98-8BEF-47C2-AAB4-0E0E33ACB35D}"/>
            </a:ext>
          </a:extLst>
        </xdr:cNvPr>
        <xdr:cNvSpPr/>
      </xdr:nvSpPr>
      <xdr:spPr>
        <a:xfrm>
          <a:off x="115443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581</xdr:row>
      <xdr:rowOff>0</xdr:rowOff>
    </xdr:from>
    <xdr:to>
      <xdr:col>60</xdr:col>
      <xdr:colOff>83820</xdr:colOff>
      <xdr:row>581</xdr:row>
      <xdr:rowOff>114300</xdr:rowOff>
    </xdr:to>
    <xdr:sp macro="" textlink="">
      <xdr:nvSpPr>
        <xdr:cNvPr id="4355" name="Arrow: Down 4354">
          <a:extLst>
            <a:ext uri="{FF2B5EF4-FFF2-40B4-BE49-F238E27FC236}">
              <a16:creationId xmlns:a16="http://schemas.microsoft.com/office/drawing/2014/main" id="{AFB4C649-6B97-4D59-B246-DAD4BB56D3FB}"/>
            </a:ext>
          </a:extLst>
        </xdr:cNvPr>
        <xdr:cNvSpPr/>
      </xdr:nvSpPr>
      <xdr:spPr>
        <a:xfrm rot="10800000">
          <a:off x="190804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579</xdr:row>
      <xdr:rowOff>0</xdr:rowOff>
    </xdr:from>
    <xdr:to>
      <xdr:col>71</xdr:col>
      <xdr:colOff>83820</xdr:colOff>
      <xdr:row>579</xdr:row>
      <xdr:rowOff>114300</xdr:rowOff>
    </xdr:to>
    <xdr:sp macro="" textlink="">
      <xdr:nvSpPr>
        <xdr:cNvPr id="4363" name="Arrow: Down 4362">
          <a:extLst>
            <a:ext uri="{FF2B5EF4-FFF2-40B4-BE49-F238E27FC236}">
              <a16:creationId xmlns:a16="http://schemas.microsoft.com/office/drawing/2014/main" id="{56811B39-100A-4B31-AB97-2DF919C762E6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580</xdr:row>
      <xdr:rowOff>0</xdr:rowOff>
    </xdr:from>
    <xdr:to>
      <xdr:col>71</xdr:col>
      <xdr:colOff>83820</xdr:colOff>
      <xdr:row>580</xdr:row>
      <xdr:rowOff>114300</xdr:rowOff>
    </xdr:to>
    <xdr:sp macro="" textlink="">
      <xdr:nvSpPr>
        <xdr:cNvPr id="4364" name="Arrow: Down 4363">
          <a:extLst>
            <a:ext uri="{FF2B5EF4-FFF2-40B4-BE49-F238E27FC236}">
              <a16:creationId xmlns:a16="http://schemas.microsoft.com/office/drawing/2014/main" id="{9C6FE3F0-CC74-4247-8F49-26C664AF732C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579</xdr:row>
      <xdr:rowOff>0</xdr:rowOff>
    </xdr:from>
    <xdr:to>
      <xdr:col>5</xdr:col>
      <xdr:colOff>83820</xdr:colOff>
      <xdr:row>579</xdr:row>
      <xdr:rowOff>114300</xdr:rowOff>
    </xdr:to>
    <xdr:sp macro="" textlink="">
      <xdr:nvSpPr>
        <xdr:cNvPr id="4365" name="Arrow: Down 4364">
          <a:extLst>
            <a:ext uri="{FF2B5EF4-FFF2-40B4-BE49-F238E27FC236}">
              <a16:creationId xmlns:a16="http://schemas.microsoft.com/office/drawing/2014/main" id="{C839F3DA-9827-4E87-BDBA-83D4D4BCB18A}"/>
            </a:ext>
          </a:extLst>
        </xdr:cNvPr>
        <xdr:cNvSpPr/>
      </xdr:nvSpPr>
      <xdr:spPr>
        <a:xfrm rot="10800000">
          <a:off x="192786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580</xdr:row>
      <xdr:rowOff>0</xdr:rowOff>
    </xdr:from>
    <xdr:to>
      <xdr:col>5</xdr:col>
      <xdr:colOff>83820</xdr:colOff>
      <xdr:row>580</xdr:row>
      <xdr:rowOff>114300</xdr:rowOff>
    </xdr:to>
    <xdr:sp macro="" textlink="">
      <xdr:nvSpPr>
        <xdr:cNvPr id="4366" name="Arrow: Down 4365">
          <a:extLst>
            <a:ext uri="{FF2B5EF4-FFF2-40B4-BE49-F238E27FC236}">
              <a16:creationId xmlns:a16="http://schemas.microsoft.com/office/drawing/2014/main" id="{12EC7171-4885-462E-BC26-AEF63BE754E6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83820</xdr:colOff>
      <xdr:row>580</xdr:row>
      <xdr:rowOff>114300</xdr:rowOff>
    </xdr:to>
    <xdr:sp macro="" textlink="">
      <xdr:nvSpPr>
        <xdr:cNvPr id="4368" name="Arrow: Down 4367">
          <a:extLst>
            <a:ext uri="{FF2B5EF4-FFF2-40B4-BE49-F238E27FC236}">
              <a16:creationId xmlns:a16="http://schemas.microsoft.com/office/drawing/2014/main" id="{F312AA2E-C962-4D4A-8F68-93E290192E5D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579</xdr:row>
      <xdr:rowOff>0</xdr:rowOff>
    </xdr:from>
    <xdr:to>
      <xdr:col>11</xdr:col>
      <xdr:colOff>83820</xdr:colOff>
      <xdr:row>579</xdr:row>
      <xdr:rowOff>114300</xdr:rowOff>
    </xdr:to>
    <xdr:sp macro="" textlink="">
      <xdr:nvSpPr>
        <xdr:cNvPr id="4370" name="Arrow: Down 4369">
          <a:extLst>
            <a:ext uri="{FF2B5EF4-FFF2-40B4-BE49-F238E27FC236}">
              <a16:creationId xmlns:a16="http://schemas.microsoft.com/office/drawing/2014/main" id="{5A33B1D5-C470-4A6F-8C18-EE09B0239658}"/>
            </a:ext>
          </a:extLst>
        </xdr:cNvPr>
        <xdr:cNvSpPr/>
      </xdr:nvSpPr>
      <xdr:spPr>
        <a:xfrm rot="10800000">
          <a:off x="36957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579</xdr:row>
      <xdr:rowOff>0</xdr:rowOff>
    </xdr:from>
    <xdr:to>
      <xdr:col>24</xdr:col>
      <xdr:colOff>83820</xdr:colOff>
      <xdr:row>579</xdr:row>
      <xdr:rowOff>114300</xdr:rowOff>
    </xdr:to>
    <xdr:sp macro="" textlink="">
      <xdr:nvSpPr>
        <xdr:cNvPr id="4372" name="Arrow: Down 4371">
          <a:extLst>
            <a:ext uri="{FF2B5EF4-FFF2-40B4-BE49-F238E27FC236}">
              <a16:creationId xmlns:a16="http://schemas.microsoft.com/office/drawing/2014/main" id="{A1EBAFA5-615F-41BD-832F-45EA1F20EC7A}"/>
            </a:ext>
          </a:extLst>
        </xdr:cNvPr>
        <xdr:cNvSpPr/>
      </xdr:nvSpPr>
      <xdr:spPr>
        <a:xfrm rot="10800000">
          <a:off x="83362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580</xdr:row>
      <xdr:rowOff>0</xdr:rowOff>
    </xdr:from>
    <xdr:to>
      <xdr:col>24</xdr:col>
      <xdr:colOff>83820</xdr:colOff>
      <xdr:row>580</xdr:row>
      <xdr:rowOff>114300</xdr:rowOff>
    </xdr:to>
    <xdr:sp macro="" textlink="">
      <xdr:nvSpPr>
        <xdr:cNvPr id="4373" name="Arrow: Down 4372">
          <a:extLst>
            <a:ext uri="{FF2B5EF4-FFF2-40B4-BE49-F238E27FC236}">
              <a16:creationId xmlns:a16="http://schemas.microsoft.com/office/drawing/2014/main" id="{4A5E17A4-D00E-4A22-973B-7ACA3027C841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581</xdr:row>
      <xdr:rowOff>0</xdr:rowOff>
    </xdr:from>
    <xdr:to>
      <xdr:col>5</xdr:col>
      <xdr:colOff>83820</xdr:colOff>
      <xdr:row>581</xdr:row>
      <xdr:rowOff>114300</xdr:rowOff>
    </xdr:to>
    <xdr:sp macro="" textlink="">
      <xdr:nvSpPr>
        <xdr:cNvPr id="4377" name="Arrow: Down 4376">
          <a:extLst>
            <a:ext uri="{FF2B5EF4-FFF2-40B4-BE49-F238E27FC236}">
              <a16:creationId xmlns:a16="http://schemas.microsoft.com/office/drawing/2014/main" id="{F824D448-36F4-4F89-9142-3A7DFEF3CA0F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581</xdr:row>
      <xdr:rowOff>0</xdr:rowOff>
    </xdr:from>
    <xdr:to>
      <xdr:col>11</xdr:col>
      <xdr:colOff>83820</xdr:colOff>
      <xdr:row>581</xdr:row>
      <xdr:rowOff>114300</xdr:rowOff>
    </xdr:to>
    <xdr:sp macro="" textlink="">
      <xdr:nvSpPr>
        <xdr:cNvPr id="4378" name="Arrow: Down 4377">
          <a:extLst>
            <a:ext uri="{FF2B5EF4-FFF2-40B4-BE49-F238E27FC236}">
              <a16:creationId xmlns:a16="http://schemas.microsoft.com/office/drawing/2014/main" id="{30879408-D2EE-48A9-B7B8-1EB46E053D28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581</xdr:row>
      <xdr:rowOff>0</xdr:rowOff>
    </xdr:from>
    <xdr:to>
      <xdr:col>24</xdr:col>
      <xdr:colOff>83820</xdr:colOff>
      <xdr:row>581</xdr:row>
      <xdr:rowOff>114300</xdr:rowOff>
    </xdr:to>
    <xdr:sp macro="" textlink="">
      <xdr:nvSpPr>
        <xdr:cNvPr id="4379" name="Arrow: Down 4378">
          <a:extLst>
            <a:ext uri="{FF2B5EF4-FFF2-40B4-BE49-F238E27FC236}">
              <a16:creationId xmlns:a16="http://schemas.microsoft.com/office/drawing/2014/main" id="{9DA51EBF-DCBC-4853-9D0A-9AFCF31F3E0F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579</xdr:row>
      <xdr:rowOff>0</xdr:rowOff>
    </xdr:from>
    <xdr:to>
      <xdr:col>39</xdr:col>
      <xdr:colOff>83820</xdr:colOff>
      <xdr:row>579</xdr:row>
      <xdr:rowOff>114300</xdr:rowOff>
    </xdr:to>
    <xdr:sp macro="" textlink="">
      <xdr:nvSpPr>
        <xdr:cNvPr id="4381" name="Arrow: Down 4380">
          <a:extLst>
            <a:ext uri="{FF2B5EF4-FFF2-40B4-BE49-F238E27FC236}">
              <a16:creationId xmlns:a16="http://schemas.microsoft.com/office/drawing/2014/main" id="{5DBBCA23-61B7-41FD-8D81-F519C8521875}"/>
            </a:ext>
          </a:extLst>
        </xdr:cNvPr>
        <xdr:cNvSpPr/>
      </xdr:nvSpPr>
      <xdr:spPr>
        <a:xfrm rot="10800000">
          <a:off x="1154430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581</xdr:row>
      <xdr:rowOff>0</xdr:rowOff>
    </xdr:from>
    <xdr:to>
      <xdr:col>71</xdr:col>
      <xdr:colOff>83820</xdr:colOff>
      <xdr:row>581</xdr:row>
      <xdr:rowOff>114300</xdr:rowOff>
    </xdr:to>
    <xdr:sp macro="" textlink="">
      <xdr:nvSpPr>
        <xdr:cNvPr id="4383" name="Arrow: Down 4382">
          <a:extLst>
            <a:ext uri="{FF2B5EF4-FFF2-40B4-BE49-F238E27FC236}">
              <a16:creationId xmlns:a16="http://schemas.microsoft.com/office/drawing/2014/main" id="{A0FD9B62-A22D-4504-AAFD-49E869D52FC1}"/>
            </a:ext>
          </a:extLst>
        </xdr:cNvPr>
        <xdr:cNvSpPr/>
      </xdr:nvSpPr>
      <xdr:spPr>
        <a:xfrm>
          <a:off x="2180082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579</xdr:row>
      <xdr:rowOff>0</xdr:rowOff>
    </xdr:from>
    <xdr:to>
      <xdr:col>60</xdr:col>
      <xdr:colOff>83820</xdr:colOff>
      <xdr:row>579</xdr:row>
      <xdr:rowOff>114300</xdr:rowOff>
    </xdr:to>
    <xdr:sp macro="" textlink="">
      <xdr:nvSpPr>
        <xdr:cNvPr id="4384" name="Arrow: Down 4383">
          <a:extLst>
            <a:ext uri="{FF2B5EF4-FFF2-40B4-BE49-F238E27FC236}">
              <a16:creationId xmlns:a16="http://schemas.microsoft.com/office/drawing/2014/main" id="{7FB78B71-A49A-424A-8211-D0F188C4F6DD}"/>
            </a:ext>
          </a:extLst>
        </xdr:cNvPr>
        <xdr:cNvSpPr/>
      </xdr:nvSpPr>
      <xdr:spPr>
        <a:xfrm>
          <a:off x="190804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580</xdr:row>
      <xdr:rowOff>0</xdr:rowOff>
    </xdr:from>
    <xdr:to>
      <xdr:col>60</xdr:col>
      <xdr:colOff>83820</xdr:colOff>
      <xdr:row>580</xdr:row>
      <xdr:rowOff>114300</xdr:rowOff>
    </xdr:to>
    <xdr:sp macro="" textlink="">
      <xdr:nvSpPr>
        <xdr:cNvPr id="4386" name="Arrow: Down 4385">
          <a:extLst>
            <a:ext uri="{FF2B5EF4-FFF2-40B4-BE49-F238E27FC236}">
              <a16:creationId xmlns:a16="http://schemas.microsoft.com/office/drawing/2014/main" id="{A381D166-CD08-4D8A-8692-88465102D899}"/>
            </a:ext>
          </a:extLst>
        </xdr:cNvPr>
        <xdr:cNvSpPr/>
      </xdr:nvSpPr>
      <xdr:spPr>
        <a:xfrm>
          <a:off x="190804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582</xdr:row>
      <xdr:rowOff>0</xdr:rowOff>
    </xdr:from>
    <xdr:to>
      <xdr:col>45</xdr:col>
      <xdr:colOff>83820</xdr:colOff>
      <xdr:row>582</xdr:row>
      <xdr:rowOff>114300</xdr:rowOff>
    </xdr:to>
    <xdr:sp macro="" textlink="">
      <xdr:nvSpPr>
        <xdr:cNvPr id="4387" name="Arrow: Down 4386">
          <a:extLst>
            <a:ext uri="{FF2B5EF4-FFF2-40B4-BE49-F238E27FC236}">
              <a16:creationId xmlns:a16="http://schemas.microsoft.com/office/drawing/2014/main" id="{B1891F61-EBBF-4160-8B11-82355C52C6D2}"/>
            </a:ext>
          </a:extLst>
        </xdr:cNvPr>
        <xdr:cNvSpPr/>
      </xdr:nvSpPr>
      <xdr:spPr>
        <a:xfrm rot="10800000">
          <a:off x="1340358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582</xdr:row>
      <xdr:rowOff>0</xdr:rowOff>
    </xdr:from>
    <xdr:to>
      <xdr:col>39</xdr:col>
      <xdr:colOff>83820</xdr:colOff>
      <xdr:row>582</xdr:row>
      <xdr:rowOff>114300</xdr:rowOff>
    </xdr:to>
    <xdr:sp macro="" textlink="">
      <xdr:nvSpPr>
        <xdr:cNvPr id="4388" name="Arrow: Down 4387">
          <a:extLst>
            <a:ext uri="{FF2B5EF4-FFF2-40B4-BE49-F238E27FC236}">
              <a16:creationId xmlns:a16="http://schemas.microsoft.com/office/drawing/2014/main" id="{36569112-2308-49A7-9EFF-2F9C32564FC4}"/>
            </a:ext>
          </a:extLst>
        </xdr:cNvPr>
        <xdr:cNvSpPr/>
      </xdr:nvSpPr>
      <xdr:spPr>
        <a:xfrm>
          <a:off x="1154430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582</xdr:row>
      <xdr:rowOff>0</xdr:rowOff>
    </xdr:from>
    <xdr:to>
      <xdr:col>60</xdr:col>
      <xdr:colOff>83820</xdr:colOff>
      <xdr:row>582</xdr:row>
      <xdr:rowOff>114300</xdr:rowOff>
    </xdr:to>
    <xdr:sp macro="" textlink="">
      <xdr:nvSpPr>
        <xdr:cNvPr id="4389" name="Arrow: Down 4388">
          <a:extLst>
            <a:ext uri="{FF2B5EF4-FFF2-40B4-BE49-F238E27FC236}">
              <a16:creationId xmlns:a16="http://schemas.microsoft.com/office/drawing/2014/main" id="{59F1430C-28F3-4EE8-AA89-6F3EC70A011D}"/>
            </a:ext>
          </a:extLst>
        </xdr:cNvPr>
        <xdr:cNvSpPr/>
      </xdr:nvSpPr>
      <xdr:spPr>
        <a:xfrm rot="10800000">
          <a:off x="1908048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582</xdr:row>
      <xdr:rowOff>0</xdr:rowOff>
    </xdr:from>
    <xdr:to>
      <xdr:col>71</xdr:col>
      <xdr:colOff>83820</xdr:colOff>
      <xdr:row>582</xdr:row>
      <xdr:rowOff>114300</xdr:rowOff>
    </xdr:to>
    <xdr:sp macro="" textlink="">
      <xdr:nvSpPr>
        <xdr:cNvPr id="4393" name="Arrow: Down 4392">
          <a:extLst>
            <a:ext uri="{FF2B5EF4-FFF2-40B4-BE49-F238E27FC236}">
              <a16:creationId xmlns:a16="http://schemas.microsoft.com/office/drawing/2014/main" id="{895901D1-5E28-441D-8BF4-C3838FDED9DE}"/>
            </a:ext>
          </a:extLst>
        </xdr:cNvPr>
        <xdr:cNvSpPr/>
      </xdr:nvSpPr>
      <xdr:spPr>
        <a:xfrm>
          <a:off x="2180082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582</xdr:row>
      <xdr:rowOff>0</xdr:rowOff>
    </xdr:from>
    <xdr:to>
      <xdr:col>24</xdr:col>
      <xdr:colOff>83820</xdr:colOff>
      <xdr:row>582</xdr:row>
      <xdr:rowOff>114300</xdr:rowOff>
    </xdr:to>
    <xdr:sp macro="" textlink="">
      <xdr:nvSpPr>
        <xdr:cNvPr id="4398" name="Arrow: Down 4397">
          <a:extLst>
            <a:ext uri="{FF2B5EF4-FFF2-40B4-BE49-F238E27FC236}">
              <a16:creationId xmlns:a16="http://schemas.microsoft.com/office/drawing/2014/main" id="{54CD9FBF-9947-4D41-9C06-D688C92EED9E}"/>
            </a:ext>
          </a:extLst>
        </xdr:cNvPr>
        <xdr:cNvSpPr/>
      </xdr:nvSpPr>
      <xdr:spPr>
        <a:xfrm>
          <a:off x="83362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583</xdr:row>
      <xdr:rowOff>0</xdr:rowOff>
    </xdr:from>
    <xdr:to>
      <xdr:col>45</xdr:col>
      <xdr:colOff>83820</xdr:colOff>
      <xdr:row>583</xdr:row>
      <xdr:rowOff>114300</xdr:rowOff>
    </xdr:to>
    <xdr:sp macro="" textlink="">
      <xdr:nvSpPr>
        <xdr:cNvPr id="4399" name="Arrow: Down 4398">
          <a:extLst>
            <a:ext uri="{FF2B5EF4-FFF2-40B4-BE49-F238E27FC236}">
              <a16:creationId xmlns:a16="http://schemas.microsoft.com/office/drawing/2014/main" id="{EC6791D1-F4E8-47A3-8319-D600D22F4BBE}"/>
            </a:ext>
          </a:extLst>
        </xdr:cNvPr>
        <xdr:cNvSpPr/>
      </xdr:nvSpPr>
      <xdr:spPr>
        <a:xfrm rot="10800000">
          <a:off x="134035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583</xdr:row>
      <xdr:rowOff>0</xdr:rowOff>
    </xdr:from>
    <xdr:to>
      <xdr:col>71</xdr:col>
      <xdr:colOff>83820</xdr:colOff>
      <xdr:row>583</xdr:row>
      <xdr:rowOff>114300</xdr:rowOff>
    </xdr:to>
    <xdr:sp macro="" textlink="">
      <xdr:nvSpPr>
        <xdr:cNvPr id="4402" name="Arrow: Down 4401">
          <a:extLst>
            <a:ext uri="{FF2B5EF4-FFF2-40B4-BE49-F238E27FC236}">
              <a16:creationId xmlns:a16="http://schemas.microsoft.com/office/drawing/2014/main" id="{70300858-970F-4047-A7FB-E886592346FA}"/>
            </a:ext>
          </a:extLst>
        </xdr:cNvPr>
        <xdr:cNvSpPr/>
      </xdr:nvSpPr>
      <xdr:spPr>
        <a:xfrm>
          <a:off x="2180082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583</xdr:row>
      <xdr:rowOff>0</xdr:rowOff>
    </xdr:from>
    <xdr:to>
      <xdr:col>5</xdr:col>
      <xdr:colOff>83820</xdr:colOff>
      <xdr:row>583</xdr:row>
      <xdr:rowOff>114300</xdr:rowOff>
    </xdr:to>
    <xdr:sp macro="" textlink="">
      <xdr:nvSpPr>
        <xdr:cNvPr id="4403" name="Arrow: Down 4402">
          <a:extLst>
            <a:ext uri="{FF2B5EF4-FFF2-40B4-BE49-F238E27FC236}">
              <a16:creationId xmlns:a16="http://schemas.microsoft.com/office/drawing/2014/main" id="{8FD2FC3B-FFA7-40F4-AACA-68FD5CC5818B}"/>
            </a:ext>
          </a:extLst>
        </xdr:cNvPr>
        <xdr:cNvSpPr/>
      </xdr:nvSpPr>
      <xdr:spPr>
        <a:xfrm rot="10800000">
          <a:off x="192786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583</xdr:row>
      <xdr:rowOff>0</xdr:rowOff>
    </xdr:from>
    <xdr:to>
      <xdr:col>11</xdr:col>
      <xdr:colOff>83820</xdr:colOff>
      <xdr:row>583</xdr:row>
      <xdr:rowOff>114300</xdr:rowOff>
    </xdr:to>
    <xdr:sp macro="" textlink="">
      <xdr:nvSpPr>
        <xdr:cNvPr id="4404" name="Arrow: Down 4403">
          <a:extLst>
            <a:ext uri="{FF2B5EF4-FFF2-40B4-BE49-F238E27FC236}">
              <a16:creationId xmlns:a16="http://schemas.microsoft.com/office/drawing/2014/main" id="{61A19163-D9F1-4C43-86CB-F0A9E0FE11E1}"/>
            </a:ext>
          </a:extLst>
        </xdr:cNvPr>
        <xdr:cNvSpPr/>
      </xdr:nvSpPr>
      <xdr:spPr>
        <a:xfrm rot="10800000">
          <a:off x="369570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582</xdr:row>
      <xdr:rowOff>0</xdr:rowOff>
    </xdr:from>
    <xdr:to>
      <xdr:col>5</xdr:col>
      <xdr:colOff>83820</xdr:colOff>
      <xdr:row>582</xdr:row>
      <xdr:rowOff>114300</xdr:rowOff>
    </xdr:to>
    <xdr:sp macro="" textlink="">
      <xdr:nvSpPr>
        <xdr:cNvPr id="4408" name="Arrow: Down 4407">
          <a:extLst>
            <a:ext uri="{FF2B5EF4-FFF2-40B4-BE49-F238E27FC236}">
              <a16:creationId xmlns:a16="http://schemas.microsoft.com/office/drawing/2014/main" id="{B471AED2-4DCD-4FCE-B45F-A68F8C21B534}"/>
            </a:ext>
          </a:extLst>
        </xdr:cNvPr>
        <xdr:cNvSpPr/>
      </xdr:nvSpPr>
      <xdr:spPr>
        <a:xfrm>
          <a:off x="192786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582</xdr:row>
      <xdr:rowOff>0</xdr:rowOff>
    </xdr:from>
    <xdr:to>
      <xdr:col>11</xdr:col>
      <xdr:colOff>83820</xdr:colOff>
      <xdr:row>582</xdr:row>
      <xdr:rowOff>114300</xdr:rowOff>
    </xdr:to>
    <xdr:sp macro="" textlink="">
      <xdr:nvSpPr>
        <xdr:cNvPr id="4409" name="Arrow: Down 4408">
          <a:extLst>
            <a:ext uri="{FF2B5EF4-FFF2-40B4-BE49-F238E27FC236}">
              <a16:creationId xmlns:a16="http://schemas.microsoft.com/office/drawing/2014/main" id="{6A3B9955-A575-458B-A00B-8B9470648899}"/>
            </a:ext>
          </a:extLst>
        </xdr:cNvPr>
        <xdr:cNvSpPr/>
      </xdr:nvSpPr>
      <xdr:spPr>
        <a:xfrm>
          <a:off x="369570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583</xdr:row>
      <xdr:rowOff>0</xdr:rowOff>
    </xdr:from>
    <xdr:to>
      <xdr:col>24</xdr:col>
      <xdr:colOff>83820</xdr:colOff>
      <xdr:row>583</xdr:row>
      <xdr:rowOff>114300</xdr:rowOff>
    </xdr:to>
    <xdr:sp macro="" textlink="">
      <xdr:nvSpPr>
        <xdr:cNvPr id="4411" name="Arrow: Down 4410">
          <a:extLst>
            <a:ext uri="{FF2B5EF4-FFF2-40B4-BE49-F238E27FC236}">
              <a16:creationId xmlns:a16="http://schemas.microsoft.com/office/drawing/2014/main" id="{18D2321A-BC6F-437A-AE3A-0F611749AFAE}"/>
            </a:ext>
          </a:extLst>
        </xdr:cNvPr>
        <xdr:cNvSpPr/>
      </xdr:nvSpPr>
      <xdr:spPr>
        <a:xfrm rot="10800000">
          <a:off x="8336280" y="10671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583</xdr:row>
      <xdr:rowOff>0</xdr:rowOff>
    </xdr:from>
    <xdr:to>
      <xdr:col>39</xdr:col>
      <xdr:colOff>83820</xdr:colOff>
      <xdr:row>583</xdr:row>
      <xdr:rowOff>114300</xdr:rowOff>
    </xdr:to>
    <xdr:sp macro="" textlink="">
      <xdr:nvSpPr>
        <xdr:cNvPr id="4412" name="Arrow: Down 4411">
          <a:extLst>
            <a:ext uri="{FF2B5EF4-FFF2-40B4-BE49-F238E27FC236}">
              <a16:creationId xmlns:a16="http://schemas.microsoft.com/office/drawing/2014/main" id="{74F96F85-DDCB-48A3-9667-8AF3CE9CDF94}"/>
            </a:ext>
          </a:extLst>
        </xdr:cNvPr>
        <xdr:cNvSpPr/>
      </xdr:nvSpPr>
      <xdr:spPr>
        <a:xfrm rot="10800000">
          <a:off x="1154430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583</xdr:row>
      <xdr:rowOff>0</xdr:rowOff>
    </xdr:from>
    <xdr:to>
      <xdr:col>60</xdr:col>
      <xdr:colOff>83820</xdr:colOff>
      <xdr:row>583</xdr:row>
      <xdr:rowOff>114300</xdr:rowOff>
    </xdr:to>
    <xdr:sp macro="" textlink="">
      <xdr:nvSpPr>
        <xdr:cNvPr id="4414" name="Arrow: Down 4413">
          <a:extLst>
            <a:ext uri="{FF2B5EF4-FFF2-40B4-BE49-F238E27FC236}">
              <a16:creationId xmlns:a16="http://schemas.microsoft.com/office/drawing/2014/main" id="{12AD8344-7C4F-432A-B8EA-33D0C87FED5C}"/>
            </a:ext>
          </a:extLst>
        </xdr:cNvPr>
        <xdr:cNvSpPr/>
      </xdr:nvSpPr>
      <xdr:spPr>
        <a:xfrm>
          <a:off x="190804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584</xdr:row>
      <xdr:rowOff>0</xdr:rowOff>
    </xdr:from>
    <xdr:to>
      <xdr:col>45</xdr:col>
      <xdr:colOff>83820</xdr:colOff>
      <xdr:row>584</xdr:row>
      <xdr:rowOff>114300</xdr:rowOff>
    </xdr:to>
    <xdr:sp macro="" textlink="">
      <xdr:nvSpPr>
        <xdr:cNvPr id="4415" name="Arrow: Down 4414">
          <a:extLst>
            <a:ext uri="{FF2B5EF4-FFF2-40B4-BE49-F238E27FC236}">
              <a16:creationId xmlns:a16="http://schemas.microsoft.com/office/drawing/2014/main" id="{82A4A13D-3ED4-4BD6-805E-2A06EB794D66}"/>
            </a:ext>
          </a:extLst>
        </xdr:cNvPr>
        <xdr:cNvSpPr/>
      </xdr:nvSpPr>
      <xdr:spPr>
        <a:xfrm rot="10800000">
          <a:off x="134035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584</xdr:row>
      <xdr:rowOff>0</xdr:rowOff>
    </xdr:from>
    <xdr:to>
      <xdr:col>71</xdr:col>
      <xdr:colOff>83820</xdr:colOff>
      <xdr:row>584</xdr:row>
      <xdr:rowOff>114300</xdr:rowOff>
    </xdr:to>
    <xdr:sp macro="" textlink="">
      <xdr:nvSpPr>
        <xdr:cNvPr id="4416" name="Arrow: Down 4415">
          <a:extLst>
            <a:ext uri="{FF2B5EF4-FFF2-40B4-BE49-F238E27FC236}">
              <a16:creationId xmlns:a16="http://schemas.microsoft.com/office/drawing/2014/main" id="{A8AB3193-B48D-48E5-8F8C-C0FE71F1B2A5}"/>
            </a:ext>
          </a:extLst>
        </xdr:cNvPr>
        <xdr:cNvSpPr/>
      </xdr:nvSpPr>
      <xdr:spPr>
        <a:xfrm>
          <a:off x="2180082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584</xdr:row>
      <xdr:rowOff>0</xdr:rowOff>
    </xdr:from>
    <xdr:to>
      <xdr:col>60</xdr:col>
      <xdr:colOff>83820</xdr:colOff>
      <xdr:row>584</xdr:row>
      <xdr:rowOff>114300</xdr:rowOff>
    </xdr:to>
    <xdr:sp macro="" textlink="">
      <xdr:nvSpPr>
        <xdr:cNvPr id="4423" name="Arrow: Down 4422">
          <a:extLst>
            <a:ext uri="{FF2B5EF4-FFF2-40B4-BE49-F238E27FC236}">
              <a16:creationId xmlns:a16="http://schemas.microsoft.com/office/drawing/2014/main" id="{8AC4232E-6D7F-49B7-876E-31321D2ADC7E}"/>
            </a:ext>
          </a:extLst>
        </xdr:cNvPr>
        <xdr:cNvSpPr/>
      </xdr:nvSpPr>
      <xdr:spPr>
        <a:xfrm rot="10800000">
          <a:off x="1908048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584</xdr:row>
      <xdr:rowOff>0</xdr:rowOff>
    </xdr:from>
    <xdr:to>
      <xdr:col>24</xdr:col>
      <xdr:colOff>83820</xdr:colOff>
      <xdr:row>584</xdr:row>
      <xdr:rowOff>114300</xdr:rowOff>
    </xdr:to>
    <xdr:sp macro="" textlink="">
      <xdr:nvSpPr>
        <xdr:cNvPr id="4425" name="Arrow: Down 4424">
          <a:extLst>
            <a:ext uri="{FF2B5EF4-FFF2-40B4-BE49-F238E27FC236}">
              <a16:creationId xmlns:a16="http://schemas.microsoft.com/office/drawing/2014/main" id="{4ED03732-A011-4DFA-B12C-63EB34BB434A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584</xdr:row>
      <xdr:rowOff>0</xdr:rowOff>
    </xdr:from>
    <xdr:to>
      <xdr:col>39</xdr:col>
      <xdr:colOff>83820</xdr:colOff>
      <xdr:row>584</xdr:row>
      <xdr:rowOff>114300</xdr:rowOff>
    </xdr:to>
    <xdr:sp macro="" textlink="">
      <xdr:nvSpPr>
        <xdr:cNvPr id="4427" name="Arrow: Down 4426">
          <a:extLst>
            <a:ext uri="{FF2B5EF4-FFF2-40B4-BE49-F238E27FC236}">
              <a16:creationId xmlns:a16="http://schemas.microsoft.com/office/drawing/2014/main" id="{C56A7B74-9A74-4594-B823-08303B87FCD1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584</xdr:row>
      <xdr:rowOff>0</xdr:rowOff>
    </xdr:from>
    <xdr:to>
      <xdr:col>5</xdr:col>
      <xdr:colOff>83820</xdr:colOff>
      <xdr:row>584</xdr:row>
      <xdr:rowOff>114300</xdr:rowOff>
    </xdr:to>
    <xdr:sp macro="" textlink="">
      <xdr:nvSpPr>
        <xdr:cNvPr id="4428" name="Arrow: Down 4427">
          <a:extLst>
            <a:ext uri="{FF2B5EF4-FFF2-40B4-BE49-F238E27FC236}">
              <a16:creationId xmlns:a16="http://schemas.microsoft.com/office/drawing/2014/main" id="{B62A0F49-9561-4B4A-BE99-57B51B5783A8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584</xdr:row>
      <xdr:rowOff>0</xdr:rowOff>
    </xdr:from>
    <xdr:to>
      <xdr:col>11</xdr:col>
      <xdr:colOff>83820</xdr:colOff>
      <xdr:row>584</xdr:row>
      <xdr:rowOff>114300</xdr:rowOff>
    </xdr:to>
    <xdr:sp macro="" textlink="">
      <xdr:nvSpPr>
        <xdr:cNvPr id="4429" name="Arrow: Down 4428">
          <a:extLst>
            <a:ext uri="{FF2B5EF4-FFF2-40B4-BE49-F238E27FC236}">
              <a16:creationId xmlns:a16="http://schemas.microsoft.com/office/drawing/2014/main" id="{B9E3B9D4-8A32-4950-925D-9B06B5B1EBFB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585</xdr:row>
      <xdr:rowOff>0</xdr:rowOff>
    </xdr:from>
    <xdr:to>
      <xdr:col>45</xdr:col>
      <xdr:colOff>83820</xdr:colOff>
      <xdr:row>585</xdr:row>
      <xdr:rowOff>114300</xdr:rowOff>
    </xdr:to>
    <xdr:sp macro="" textlink="">
      <xdr:nvSpPr>
        <xdr:cNvPr id="4437" name="Arrow: Down 4436">
          <a:extLst>
            <a:ext uri="{FF2B5EF4-FFF2-40B4-BE49-F238E27FC236}">
              <a16:creationId xmlns:a16="http://schemas.microsoft.com/office/drawing/2014/main" id="{FA856FF3-6D3F-4E97-A990-D299A6517649}"/>
            </a:ext>
          </a:extLst>
        </xdr:cNvPr>
        <xdr:cNvSpPr/>
      </xdr:nvSpPr>
      <xdr:spPr>
        <a:xfrm rot="10800000">
          <a:off x="134035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585</xdr:row>
      <xdr:rowOff>0</xdr:rowOff>
    </xdr:from>
    <xdr:to>
      <xdr:col>71</xdr:col>
      <xdr:colOff>83820</xdr:colOff>
      <xdr:row>585</xdr:row>
      <xdr:rowOff>114300</xdr:rowOff>
    </xdr:to>
    <xdr:sp macro="" textlink="">
      <xdr:nvSpPr>
        <xdr:cNvPr id="4438" name="Arrow: Down 4437">
          <a:extLst>
            <a:ext uri="{FF2B5EF4-FFF2-40B4-BE49-F238E27FC236}">
              <a16:creationId xmlns:a16="http://schemas.microsoft.com/office/drawing/2014/main" id="{FB2D0603-38D4-47D6-82B9-C010EA686C7A}"/>
            </a:ext>
          </a:extLst>
        </xdr:cNvPr>
        <xdr:cNvSpPr/>
      </xdr:nvSpPr>
      <xdr:spPr>
        <a:xfrm>
          <a:off x="2180082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585</xdr:row>
      <xdr:rowOff>0</xdr:rowOff>
    </xdr:from>
    <xdr:to>
      <xdr:col>24</xdr:col>
      <xdr:colOff>83820</xdr:colOff>
      <xdr:row>585</xdr:row>
      <xdr:rowOff>114300</xdr:rowOff>
    </xdr:to>
    <xdr:sp macro="" textlink="">
      <xdr:nvSpPr>
        <xdr:cNvPr id="4440" name="Arrow: Down 4439">
          <a:extLst>
            <a:ext uri="{FF2B5EF4-FFF2-40B4-BE49-F238E27FC236}">
              <a16:creationId xmlns:a16="http://schemas.microsoft.com/office/drawing/2014/main" id="{1B413D82-59A6-44AD-A9E7-E7F8A5F57175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585</xdr:row>
      <xdr:rowOff>0</xdr:rowOff>
    </xdr:from>
    <xdr:to>
      <xdr:col>39</xdr:col>
      <xdr:colOff>83820</xdr:colOff>
      <xdr:row>585</xdr:row>
      <xdr:rowOff>114300</xdr:rowOff>
    </xdr:to>
    <xdr:sp macro="" textlink="">
      <xdr:nvSpPr>
        <xdr:cNvPr id="4441" name="Arrow: Down 4440">
          <a:extLst>
            <a:ext uri="{FF2B5EF4-FFF2-40B4-BE49-F238E27FC236}">
              <a16:creationId xmlns:a16="http://schemas.microsoft.com/office/drawing/2014/main" id="{8608A392-A68F-49A4-8EFA-BDFA96A6595C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585</xdr:row>
      <xdr:rowOff>0</xdr:rowOff>
    </xdr:from>
    <xdr:to>
      <xdr:col>5</xdr:col>
      <xdr:colOff>83820</xdr:colOff>
      <xdr:row>585</xdr:row>
      <xdr:rowOff>114300</xdr:rowOff>
    </xdr:to>
    <xdr:sp macro="" textlink="">
      <xdr:nvSpPr>
        <xdr:cNvPr id="4442" name="Arrow: Down 4441">
          <a:extLst>
            <a:ext uri="{FF2B5EF4-FFF2-40B4-BE49-F238E27FC236}">
              <a16:creationId xmlns:a16="http://schemas.microsoft.com/office/drawing/2014/main" id="{B4D48F9F-03C1-4397-997C-3FD97176234C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585</xdr:row>
      <xdr:rowOff>0</xdr:rowOff>
    </xdr:from>
    <xdr:to>
      <xdr:col>11</xdr:col>
      <xdr:colOff>83820</xdr:colOff>
      <xdr:row>585</xdr:row>
      <xdr:rowOff>114300</xdr:rowOff>
    </xdr:to>
    <xdr:sp macro="" textlink="">
      <xdr:nvSpPr>
        <xdr:cNvPr id="4443" name="Arrow: Down 4442">
          <a:extLst>
            <a:ext uri="{FF2B5EF4-FFF2-40B4-BE49-F238E27FC236}">
              <a16:creationId xmlns:a16="http://schemas.microsoft.com/office/drawing/2014/main" id="{94BAC50B-7F70-44CC-AC14-A9419B9F4C04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585</xdr:row>
      <xdr:rowOff>0</xdr:rowOff>
    </xdr:from>
    <xdr:to>
      <xdr:col>60</xdr:col>
      <xdr:colOff>83820</xdr:colOff>
      <xdr:row>585</xdr:row>
      <xdr:rowOff>114300</xdr:rowOff>
    </xdr:to>
    <xdr:sp macro="" textlink="">
      <xdr:nvSpPr>
        <xdr:cNvPr id="4445" name="Arrow: Down 4444">
          <a:extLst>
            <a:ext uri="{FF2B5EF4-FFF2-40B4-BE49-F238E27FC236}">
              <a16:creationId xmlns:a16="http://schemas.microsoft.com/office/drawing/2014/main" id="{34D70ECF-D39C-492D-82FD-E4F82800FB61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708660</xdr:colOff>
      <xdr:row>983</xdr:row>
      <xdr:rowOff>60960</xdr:rowOff>
    </xdr:from>
    <xdr:to>
      <xdr:col>76</xdr:col>
      <xdr:colOff>60960</xdr:colOff>
      <xdr:row>983</xdr:row>
      <xdr:rowOff>68580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E06B8-8AAD-47B2-8FC3-1565DB99F2DF}"/>
            </a:ext>
          </a:extLst>
        </xdr:cNvPr>
        <xdr:cNvCxnSpPr/>
      </xdr:nvCxnSpPr>
      <xdr:spPr>
        <a:xfrm flipV="1">
          <a:off x="18874740" y="131589780"/>
          <a:ext cx="3985260" cy="762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586</xdr:row>
      <xdr:rowOff>0</xdr:rowOff>
    </xdr:from>
    <xdr:to>
      <xdr:col>45</xdr:col>
      <xdr:colOff>83820</xdr:colOff>
      <xdr:row>586</xdr:row>
      <xdr:rowOff>114300</xdr:rowOff>
    </xdr:to>
    <xdr:sp macro="" textlink="">
      <xdr:nvSpPr>
        <xdr:cNvPr id="4453" name="Arrow: Down 4452">
          <a:extLst>
            <a:ext uri="{FF2B5EF4-FFF2-40B4-BE49-F238E27FC236}">
              <a16:creationId xmlns:a16="http://schemas.microsoft.com/office/drawing/2014/main" id="{DE11FCDE-2AB6-4B83-A7C9-14B5713FF792}"/>
            </a:ext>
          </a:extLst>
        </xdr:cNvPr>
        <xdr:cNvSpPr/>
      </xdr:nvSpPr>
      <xdr:spPr>
        <a:xfrm rot="10800000">
          <a:off x="134035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586</xdr:row>
      <xdr:rowOff>0</xdr:rowOff>
    </xdr:from>
    <xdr:to>
      <xdr:col>71</xdr:col>
      <xdr:colOff>83820</xdr:colOff>
      <xdr:row>586</xdr:row>
      <xdr:rowOff>114300</xdr:rowOff>
    </xdr:to>
    <xdr:sp macro="" textlink="">
      <xdr:nvSpPr>
        <xdr:cNvPr id="4454" name="Arrow: Down 4453">
          <a:extLst>
            <a:ext uri="{FF2B5EF4-FFF2-40B4-BE49-F238E27FC236}">
              <a16:creationId xmlns:a16="http://schemas.microsoft.com/office/drawing/2014/main" id="{DAF44BBD-330B-480C-89ED-6AB52A52202E}"/>
            </a:ext>
          </a:extLst>
        </xdr:cNvPr>
        <xdr:cNvSpPr/>
      </xdr:nvSpPr>
      <xdr:spPr>
        <a:xfrm>
          <a:off x="2180082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586</xdr:row>
      <xdr:rowOff>0</xdr:rowOff>
    </xdr:from>
    <xdr:to>
      <xdr:col>60</xdr:col>
      <xdr:colOff>83820</xdr:colOff>
      <xdr:row>586</xdr:row>
      <xdr:rowOff>114300</xdr:rowOff>
    </xdr:to>
    <xdr:sp macro="" textlink="">
      <xdr:nvSpPr>
        <xdr:cNvPr id="4459" name="Arrow: Down 4458">
          <a:extLst>
            <a:ext uri="{FF2B5EF4-FFF2-40B4-BE49-F238E27FC236}">
              <a16:creationId xmlns:a16="http://schemas.microsoft.com/office/drawing/2014/main" id="{22001B11-37FC-4F16-8671-B43F5417872B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586</xdr:row>
      <xdr:rowOff>0</xdr:rowOff>
    </xdr:from>
    <xdr:to>
      <xdr:col>39</xdr:col>
      <xdr:colOff>83820</xdr:colOff>
      <xdr:row>586</xdr:row>
      <xdr:rowOff>114300</xdr:rowOff>
    </xdr:to>
    <xdr:sp macro="" textlink="">
      <xdr:nvSpPr>
        <xdr:cNvPr id="4460" name="Arrow: Down 4459">
          <a:extLst>
            <a:ext uri="{FF2B5EF4-FFF2-40B4-BE49-F238E27FC236}">
              <a16:creationId xmlns:a16="http://schemas.microsoft.com/office/drawing/2014/main" id="{D24706C1-B755-4493-9732-A0ECA9D9795F}"/>
            </a:ext>
          </a:extLst>
        </xdr:cNvPr>
        <xdr:cNvSpPr/>
      </xdr:nvSpPr>
      <xdr:spPr>
        <a:xfrm rot="10800000">
          <a:off x="1154430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586</xdr:row>
      <xdr:rowOff>0</xdr:rowOff>
    </xdr:from>
    <xdr:to>
      <xdr:col>24</xdr:col>
      <xdr:colOff>83820</xdr:colOff>
      <xdr:row>586</xdr:row>
      <xdr:rowOff>114300</xdr:rowOff>
    </xdr:to>
    <xdr:sp macro="" textlink="">
      <xdr:nvSpPr>
        <xdr:cNvPr id="4462" name="Arrow: Down 4461">
          <a:extLst>
            <a:ext uri="{FF2B5EF4-FFF2-40B4-BE49-F238E27FC236}">
              <a16:creationId xmlns:a16="http://schemas.microsoft.com/office/drawing/2014/main" id="{5C6E4D67-7C68-4C9B-8769-67F77D40BD18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586</xdr:row>
      <xdr:rowOff>0</xdr:rowOff>
    </xdr:from>
    <xdr:to>
      <xdr:col>11</xdr:col>
      <xdr:colOff>83820</xdr:colOff>
      <xdr:row>586</xdr:row>
      <xdr:rowOff>114300</xdr:rowOff>
    </xdr:to>
    <xdr:sp macro="" textlink="">
      <xdr:nvSpPr>
        <xdr:cNvPr id="4465" name="Arrow: Down 4464">
          <a:extLst>
            <a:ext uri="{FF2B5EF4-FFF2-40B4-BE49-F238E27FC236}">
              <a16:creationId xmlns:a16="http://schemas.microsoft.com/office/drawing/2014/main" id="{761A7666-B88F-4612-B13A-C1C7D6812721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586</xdr:row>
      <xdr:rowOff>0</xdr:rowOff>
    </xdr:from>
    <xdr:to>
      <xdr:col>5</xdr:col>
      <xdr:colOff>83820</xdr:colOff>
      <xdr:row>586</xdr:row>
      <xdr:rowOff>114300</xdr:rowOff>
    </xdr:to>
    <xdr:sp macro="" textlink="">
      <xdr:nvSpPr>
        <xdr:cNvPr id="4467" name="Arrow: Down 4466">
          <a:extLst>
            <a:ext uri="{FF2B5EF4-FFF2-40B4-BE49-F238E27FC236}">
              <a16:creationId xmlns:a16="http://schemas.microsoft.com/office/drawing/2014/main" id="{EF106D39-60E8-4BC8-819C-62AD8B1E4DDC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587</xdr:row>
      <xdr:rowOff>0</xdr:rowOff>
    </xdr:from>
    <xdr:to>
      <xdr:col>45</xdr:col>
      <xdr:colOff>83820</xdr:colOff>
      <xdr:row>587</xdr:row>
      <xdr:rowOff>114300</xdr:rowOff>
    </xdr:to>
    <xdr:sp macro="" textlink="">
      <xdr:nvSpPr>
        <xdr:cNvPr id="4468" name="Arrow: Down 4467">
          <a:extLst>
            <a:ext uri="{FF2B5EF4-FFF2-40B4-BE49-F238E27FC236}">
              <a16:creationId xmlns:a16="http://schemas.microsoft.com/office/drawing/2014/main" id="{5661212E-D85D-43D1-B3A4-C86EF2A5BC56}"/>
            </a:ext>
          </a:extLst>
        </xdr:cNvPr>
        <xdr:cNvSpPr/>
      </xdr:nvSpPr>
      <xdr:spPr>
        <a:xfrm rot="10800000">
          <a:off x="1340358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587</xdr:row>
      <xdr:rowOff>0</xdr:rowOff>
    </xdr:from>
    <xdr:to>
      <xdr:col>71</xdr:col>
      <xdr:colOff>83820</xdr:colOff>
      <xdr:row>587</xdr:row>
      <xdr:rowOff>114300</xdr:rowOff>
    </xdr:to>
    <xdr:sp macro="" textlink="">
      <xdr:nvSpPr>
        <xdr:cNvPr id="4469" name="Arrow: Down 4468">
          <a:extLst>
            <a:ext uri="{FF2B5EF4-FFF2-40B4-BE49-F238E27FC236}">
              <a16:creationId xmlns:a16="http://schemas.microsoft.com/office/drawing/2014/main" id="{1C686214-78B3-4EF1-BDEC-F8F9870C23C2}"/>
            </a:ext>
          </a:extLst>
        </xdr:cNvPr>
        <xdr:cNvSpPr/>
      </xdr:nvSpPr>
      <xdr:spPr>
        <a:xfrm>
          <a:off x="2180082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587</xdr:row>
      <xdr:rowOff>0</xdr:rowOff>
    </xdr:from>
    <xdr:to>
      <xdr:col>24</xdr:col>
      <xdr:colOff>83820</xdr:colOff>
      <xdr:row>587</xdr:row>
      <xdr:rowOff>114300</xdr:rowOff>
    </xdr:to>
    <xdr:sp macro="" textlink="">
      <xdr:nvSpPr>
        <xdr:cNvPr id="4472" name="Arrow: Down 4471">
          <a:extLst>
            <a:ext uri="{FF2B5EF4-FFF2-40B4-BE49-F238E27FC236}">
              <a16:creationId xmlns:a16="http://schemas.microsoft.com/office/drawing/2014/main" id="{36D73B17-0638-434B-BAB9-D9692942E69D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587</xdr:row>
      <xdr:rowOff>0</xdr:rowOff>
    </xdr:from>
    <xdr:to>
      <xdr:col>11</xdr:col>
      <xdr:colOff>83820</xdr:colOff>
      <xdr:row>587</xdr:row>
      <xdr:rowOff>114300</xdr:rowOff>
    </xdr:to>
    <xdr:sp macro="" textlink="">
      <xdr:nvSpPr>
        <xdr:cNvPr id="4473" name="Arrow: Down 4472">
          <a:extLst>
            <a:ext uri="{FF2B5EF4-FFF2-40B4-BE49-F238E27FC236}">
              <a16:creationId xmlns:a16="http://schemas.microsoft.com/office/drawing/2014/main" id="{F17AE078-8AAC-4621-AC42-3175A09505C0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587</xdr:row>
      <xdr:rowOff>0</xdr:rowOff>
    </xdr:from>
    <xdr:to>
      <xdr:col>5</xdr:col>
      <xdr:colOff>83820</xdr:colOff>
      <xdr:row>587</xdr:row>
      <xdr:rowOff>114300</xdr:rowOff>
    </xdr:to>
    <xdr:sp macro="" textlink="">
      <xdr:nvSpPr>
        <xdr:cNvPr id="4474" name="Arrow: Down 4473">
          <a:extLst>
            <a:ext uri="{FF2B5EF4-FFF2-40B4-BE49-F238E27FC236}">
              <a16:creationId xmlns:a16="http://schemas.microsoft.com/office/drawing/2014/main" id="{977FE18A-37CB-40BB-9D19-490F94896322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587</xdr:row>
      <xdr:rowOff>0</xdr:rowOff>
    </xdr:from>
    <xdr:to>
      <xdr:col>39</xdr:col>
      <xdr:colOff>83820</xdr:colOff>
      <xdr:row>587</xdr:row>
      <xdr:rowOff>114300</xdr:rowOff>
    </xdr:to>
    <xdr:sp macro="" textlink="">
      <xdr:nvSpPr>
        <xdr:cNvPr id="4476" name="Arrow: Down 4475">
          <a:extLst>
            <a:ext uri="{FF2B5EF4-FFF2-40B4-BE49-F238E27FC236}">
              <a16:creationId xmlns:a16="http://schemas.microsoft.com/office/drawing/2014/main" id="{B0D989B1-C393-4847-8E15-2736ED00B403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587</xdr:row>
      <xdr:rowOff>0</xdr:rowOff>
    </xdr:from>
    <xdr:to>
      <xdr:col>60</xdr:col>
      <xdr:colOff>83820</xdr:colOff>
      <xdr:row>587</xdr:row>
      <xdr:rowOff>114300</xdr:rowOff>
    </xdr:to>
    <xdr:sp macro="" textlink="">
      <xdr:nvSpPr>
        <xdr:cNvPr id="4478" name="Arrow: Down 4477">
          <a:extLst>
            <a:ext uri="{FF2B5EF4-FFF2-40B4-BE49-F238E27FC236}">
              <a16:creationId xmlns:a16="http://schemas.microsoft.com/office/drawing/2014/main" id="{B1BC1525-5E13-46F1-9174-D28983CA5F60}"/>
            </a:ext>
          </a:extLst>
        </xdr:cNvPr>
        <xdr:cNvSpPr/>
      </xdr:nvSpPr>
      <xdr:spPr>
        <a:xfrm rot="10800000">
          <a:off x="190804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588</xdr:row>
      <xdr:rowOff>0</xdr:rowOff>
    </xdr:from>
    <xdr:to>
      <xdr:col>45</xdr:col>
      <xdr:colOff>83820</xdr:colOff>
      <xdr:row>588</xdr:row>
      <xdr:rowOff>114300</xdr:rowOff>
    </xdr:to>
    <xdr:sp macro="" textlink="">
      <xdr:nvSpPr>
        <xdr:cNvPr id="4486" name="Arrow: Down 4485">
          <a:extLst>
            <a:ext uri="{FF2B5EF4-FFF2-40B4-BE49-F238E27FC236}">
              <a16:creationId xmlns:a16="http://schemas.microsoft.com/office/drawing/2014/main" id="{8F77D211-246B-4C66-B604-1AB281AF98AE}"/>
            </a:ext>
          </a:extLst>
        </xdr:cNvPr>
        <xdr:cNvSpPr/>
      </xdr:nvSpPr>
      <xdr:spPr>
        <a:xfrm rot="10800000">
          <a:off x="1340358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588</xdr:row>
      <xdr:rowOff>0</xdr:rowOff>
    </xdr:from>
    <xdr:to>
      <xdr:col>71</xdr:col>
      <xdr:colOff>83820</xdr:colOff>
      <xdr:row>588</xdr:row>
      <xdr:rowOff>114300</xdr:rowOff>
    </xdr:to>
    <xdr:sp macro="" textlink="">
      <xdr:nvSpPr>
        <xdr:cNvPr id="4487" name="Arrow: Down 4486">
          <a:extLst>
            <a:ext uri="{FF2B5EF4-FFF2-40B4-BE49-F238E27FC236}">
              <a16:creationId xmlns:a16="http://schemas.microsoft.com/office/drawing/2014/main" id="{2CAD8BF2-9AAB-4988-BFA9-79AB1F02D1BC}"/>
            </a:ext>
          </a:extLst>
        </xdr:cNvPr>
        <xdr:cNvSpPr/>
      </xdr:nvSpPr>
      <xdr:spPr>
        <a:xfrm>
          <a:off x="2180082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588</xdr:row>
      <xdr:rowOff>0</xdr:rowOff>
    </xdr:from>
    <xdr:to>
      <xdr:col>24</xdr:col>
      <xdr:colOff>83820</xdr:colOff>
      <xdr:row>588</xdr:row>
      <xdr:rowOff>114300</xdr:rowOff>
    </xdr:to>
    <xdr:sp macro="" textlink="">
      <xdr:nvSpPr>
        <xdr:cNvPr id="4488" name="Arrow: Down 4487">
          <a:extLst>
            <a:ext uri="{FF2B5EF4-FFF2-40B4-BE49-F238E27FC236}">
              <a16:creationId xmlns:a16="http://schemas.microsoft.com/office/drawing/2014/main" id="{63D97391-9101-4717-882F-8F65C0D24C10}"/>
            </a:ext>
          </a:extLst>
        </xdr:cNvPr>
        <xdr:cNvSpPr/>
      </xdr:nvSpPr>
      <xdr:spPr>
        <a:xfrm rot="10800000">
          <a:off x="83362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588</xdr:row>
      <xdr:rowOff>0</xdr:rowOff>
    </xdr:from>
    <xdr:to>
      <xdr:col>11</xdr:col>
      <xdr:colOff>83820</xdr:colOff>
      <xdr:row>588</xdr:row>
      <xdr:rowOff>114300</xdr:rowOff>
    </xdr:to>
    <xdr:sp macro="" textlink="">
      <xdr:nvSpPr>
        <xdr:cNvPr id="4489" name="Arrow: Down 4488">
          <a:extLst>
            <a:ext uri="{FF2B5EF4-FFF2-40B4-BE49-F238E27FC236}">
              <a16:creationId xmlns:a16="http://schemas.microsoft.com/office/drawing/2014/main" id="{EC04336A-E605-45B2-A225-7907FC2FD64B}"/>
            </a:ext>
          </a:extLst>
        </xdr:cNvPr>
        <xdr:cNvSpPr/>
      </xdr:nvSpPr>
      <xdr:spPr>
        <a:xfrm rot="10800000">
          <a:off x="36957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588</xdr:row>
      <xdr:rowOff>0</xdr:rowOff>
    </xdr:from>
    <xdr:to>
      <xdr:col>5</xdr:col>
      <xdr:colOff>83820</xdr:colOff>
      <xdr:row>588</xdr:row>
      <xdr:rowOff>114300</xdr:rowOff>
    </xdr:to>
    <xdr:sp macro="" textlink="">
      <xdr:nvSpPr>
        <xdr:cNvPr id="4490" name="Arrow: Down 4489">
          <a:extLst>
            <a:ext uri="{FF2B5EF4-FFF2-40B4-BE49-F238E27FC236}">
              <a16:creationId xmlns:a16="http://schemas.microsoft.com/office/drawing/2014/main" id="{A53EFE72-FECB-439F-859E-53D086D5EE9E}"/>
            </a:ext>
          </a:extLst>
        </xdr:cNvPr>
        <xdr:cNvSpPr/>
      </xdr:nvSpPr>
      <xdr:spPr>
        <a:xfrm rot="10800000">
          <a:off x="192786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588</xdr:row>
      <xdr:rowOff>0</xdr:rowOff>
    </xdr:from>
    <xdr:to>
      <xdr:col>39</xdr:col>
      <xdr:colOff>83820</xdr:colOff>
      <xdr:row>588</xdr:row>
      <xdr:rowOff>114300</xdr:rowOff>
    </xdr:to>
    <xdr:sp macro="" textlink="">
      <xdr:nvSpPr>
        <xdr:cNvPr id="4491" name="Arrow: Down 4490">
          <a:extLst>
            <a:ext uri="{FF2B5EF4-FFF2-40B4-BE49-F238E27FC236}">
              <a16:creationId xmlns:a16="http://schemas.microsoft.com/office/drawing/2014/main" id="{329F146B-917C-423E-B426-D1835CD85C28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588</xdr:row>
      <xdr:rowOff>0</xdr:rowOff>
    </xdr:from>
    <xdr:to>
      <xdr:col>60</xdr:col>
      <xdr:colOff>83820</xdr:colOff>
      <xdr:row>588</xdr:row>
      <xdr:rowOff>114300</xdr:rowOff>
    </xdr:to>
    <xdr:sp macro="" textlink="">
      <xdr:nvSpPr>
        <xdr:cNvPr id="4493" name="Arrow: Down 4492">
          <a:extLst>
            <a:ext uri="{FF2B5EF4-FFF2-40B4-BE49-F238E27FC236}">
              <a16:creationId xmlns:a16="http://schemas.microsoft.com/office/drawing/2014/main" id="{C82D5B68-AE4B-480F-94FE-D9AD6F96BBD0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589</xdr:row>
      <xdr:rowOff>0</xdr:rowOff>
    </xdr:from>
    <xdr:to>
      <xdr:col>45</xdr:col>
      <xdr:colOff>83820</xdr:colOff>
      <xdr:row>589</xdr:row>
      <xdr:rowOff>114300</xdr:rowOff>
    </xdr:to>
    <xdr:sp macro="" textlink="">
      <xdr:nvSpPr>
        <xdr:cNvPr id="4494" name="Arrow: Down 4493">
          <a:extLst>
            <a:ext uri="{FF2B5EF4-FFF2-40B4-BE49-F238E27FC236}">
              <a16:creationId xmlns:a16="http://schemas.microsoft.com/office/drawing/2014/main" id="{2D527AF6-3B4A-4C20-9D36-F73A95E876F9}"/>
            </a:ext>
          </a:extLst>
        </xdr:cNvPr>
        <xdr:cNvSpPr/>
      </xdr:nvSpPr>
      <xdr:spPr>
        <a:xfrm rot="10800000">
          <a:off x="134035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589</xdr:row>
      <xdr:rowOff>0</xdr:rowOff>
    </xdr:from>
    <xdr:to>
      <xdr:col>71</xdr:col>
      <xdr:colOff>83820</xdr:colOff>
      <xdr:row>589</xdr:row>
      <xdr:rowOff>114300</xdr:rowOff>
    </xdr:to>
    <xdr:sp macro="" textlink="">
      <xdr:nvSpPr>
        <xdr:cNvPr id="4495" name="Arrow: Down 4494">
          <a:extLst>
            <a:ext uri="{FF2B5EF4-FFF2-40B4-BE49-F238E27FC236}">
              <a16:creationId xmlns:a16="http://schemas.microsoft.com/office/drawing/2014/main" id="{6202E135-F041-4EB6-A2B1-B3CAAA3F68EC}"/>
            </a:ext>
          </a:extLst>
        </xdr:cNvPr>
        <xdr:cNvSpPr/>
      </xdr:nvSpPr>
      <xdr:spPr>
        <a:xfrm>
          <a:off x="2180082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589</xdr:row>
      <xdr:rowOff>0</xdr:rowOff>
    </xdr:from>
    <xdr:to>
      <xdr:col>11</xdr:col>
      <xdr:colOff>83820</xdr:colOff>
      <xdr:row>589</xdr:row>
      <xdr:rowOff>114300</xdr:rowOff>
    </xdr:to>
    <xdr:sp macro="" textlink="">
      <xdr:nvSpPr>
        <xdr:cNvPr id="4497" name="Arrow: Down 4496">
          <a:extLst>
            <a:ext uri="{FF2B5EF4-FFF2-40B4-BE49-F238E27FC236}">
              <a16:creationId xmlns:a16="http://schemas.microsoft.com/office/drawing/2014/main" id="{730C339B-5B14-4166-9DB2-1C555A5365E9}"/>
            </a:ext>
          </a:extLst>
        </xdr:cNvPr>
        <xdr:cNvSpPr/>
      </xdr:nvSpPr>
      <xdr:spPr>
        <a:xfrm rot="10800000">
          <a:off x="36957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589</xdr:row>
      <xdr:rowOff>0</xdr:rowOff>
    </xdr:from>
    <xdr:to>
      <xdr:col>5</xdr:col>
      <xdr:colOff>83820</xdr:colOff>
      <xdr:row>589</xdr:row>
      <xdr:rowOff>114300</xdr:rowOff>
    </xdr:to>
    <xdr:sp macro="" textlink="">
      <xdr:nvSpPr>
        <xdr:cNvPr id="4498" name="Arrow: Down 4497">
          <a:extLst>
            <a:ext uri="{FF2B5EF4-FFF2-40B4-BE49-F238E27FC236}">
              <a16:creationId xmlns:a16="http://schemas.microsoft.com/office/drawing/2014/main" id="{A5A5B7C3-A3AD-4BD3-BC80-4317751C81A8}"/>
            </a:ext>
          </a:extLst>
        </xdr:cNvPr>
        <xdr:cNvSpPr/>
      </xdr:nvSpPr>
      <xdr:spPr>
        <a:xfrm rot="10800000">
          <a:off x="192786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589</xdr:row>
      <xdr:rowOff>0</xdr:rowOff>
    </xdr:from>
    <xdr:to>
      <xdr:col>39</xdr:col>
      <xdr:colOff>83820</xdr:colOff>
      <xdr:row>589</xdr:row>
      <xdr:rowOff>114300</xdr:rowOff>
    </xdr:to>
    <xdr:sp macro="" textlink="">
      <xdr:nvSpPr>
        <xdr:cNvPr id="4499" name="Arrow: Down 4498">
          <a:extLst>
            <a:ext uri="{FF2B5EF4-FFF2-40B4-BE49-F238E27FC236}">
              <a16:creationId xmlns:a16="http://schemas.microsoft.com/office/drawing/2014/main" id="{60069320-F3D8-4A07-BFA9-B1EFFBC6E90D}"/>
            </a:ext>
          </a:extLst>
        </xdr:cNvPr>
        <xdr:cNvSpPr/>
      </xdr:nvSpPr>
      <xdr:spPr>
        <a:xfrm>
          <a:off x="115443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589</xdr:row>
      <xdr:rowOff>0</xdr:rowOff>
    </xdr:from>
    <xdr:to>
      <xdr:col>60</xdr:col>
      <xdr:colOff>83820</xdr:colOff>
      <xdr:row>589</xdr:row>
      <xdr:rowOff>114300</xdr:rowOff>
    </xdr:to>
    <xdr:sp macro="" textlink="">
      <xdr:nvSpPr>
        <xdr:cNvPr id="4500" name="Arrow: Down 4499">
          <a:extLst>
            <a:ext uri="{FF2B5EF4-FFF2-40B4-BE49-F238E27FC236}">
              <a16:creationId xmlns:a16="http://schemas.microsoft.com/office/drawing/2014/main" id="{E405E066-915A-4EB3-86A2-E6513E9A4C82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589</xdr:row>
      <xdr:rowOff>0</xdr:rowOff>
    </xdr:from>
    <xdr:to>
      <xdr:col>24</xdr:col>
      <xdr:colOff>83820</xdr:colOff>
      <xdr:row>589</xdr:row>
      <xdr:rowOff>114300</xdr:rowOff>
    </xdr:to>
    <xdr:sp macro="" textlink="">
      <xdr:nvSpPr>
        <xdr:cNvPr id="4502" name="Arrow: Down 4501">
          <a:extLst>
            <a:ext uri="{FF2B5EF4-FFF2-40B4-BE49-F238E27FC236}">
              <a16:creationId xmlns:a16="http://schemas.microsoft.com/office/drawing/2014/main" id="{EF78C9FD-2017-4CAA-81F2-1E66FB265FC2}"/>
            </a:ext>
          </a:extLst>
        </xdr:cNvPr>
        <xdr:cNvSpPr/>
      </xdr:nvSpPr>
      <xdr:spPr>
        <a:xfrm>
          <a:off x="83362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590</xdr:row>
      <xdr:rowOff>0</xdr:rowOff>
    </xdr:from>
    <xdr:to>
      <xdr:col>45</xdr:col>
      <xdr:colOff>83820</xdr:colOff>
      <xdr:row>590</xdr:row>
      <xdr:rowOff>114300</xdr:rowOff>
    </xdr:to>
    <xdr:sp macro="" textlink="">
      <xdr:nvSpPr>
        <xdr:cNvPr id="4510" name="Arrow: Down 4509">
          <a:extLst>
            <a:ext uri="{FF2B5EF4-FFF2-40B4-BE49-F238E27FC236}">
              <a16:creationId xmlns:a16="http://schemas.microsoft.com/office/drawing/2014/main" id="{442EC924-451F-43E3-B65C-F703BB3DD526}"/>
            </a:ext>
          </a:extLst>
        </xdr:cNvPr>
        <xdr:cNvSpPr/>
      </xdr:nvSpPr>
      <xdr:spPr>
        <a:xfrm rot="10800000">
          <a:off x="134035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590</xdr:row>
      <xdr:rowOff>0</xdr:rowOff>
    </xdr:from>
    <xdr:to>
      <xdr:col>71</xdr:col>
      <xdr:colOff>83820</xdr:colOff>
      <xdr:row>590</xdr:row>
      <xdr:rowOff>114300</xdr:rowOff>
    </xdr:to>
    <xdr:sp macro="" textlink="">
      <xdr:nvSpPr>
        <xdr:cNvPr id="4511" name="Arrow: Down 4510">
          <a:extLst>
            <a:ext uri="{FF2B5EF4-FFF2-40B4-BE49-F238E27FC236}">
              <a16:creationId xmlns:a16="http://schemas.microsoft.com/office/drawing/2014/main" id="{C28840AD-F523-42E8-94EB-FF5557332131}"/>
            </a:ext>
          </a:extLst>
        </xdr:cNvPr>
        <xdr:cNvSpPr/>
      </xdr:nvSpPr>
      <xdr:spPr>
        <a:xfrm>
          <a:off x="2180082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590</xdr:row>
      <xdr:rowOff>0</xdr:rowOff>
    </xdr:from>
    <xdr:to>
      <xdr:col>11</xdr:col>
      <xdr:colOff>83820</xdr:colOff>
      <xdr:row>590</xdr:row>
      <xdr:rowOff>114300</xdr:rowOff>
    </xdr:to>
    <xdr:sp macro="" textlink="">
      <xdr:nvSpPr>
        <xdr:cNvPr id="4512" name="Arrow: Down 4511">
          <a:extLst>
            <a:ext uri="{FF2B5EF4-FFF2-40B4-BE49-F238E27FC236}">
              <a16:creationId xmlns:a16="http://schemas.microsoft.com/office/drawing/2014/main" id="{67E5CC3A-1E7C-427D-8623-F80E50D454CB}"/>
            </a:ext>
          </a:extLst>
        </xdr:cNvPr>
        <xdr:cNvSpPr/>
      </xdr:nvSpPr>
      <xdr:spPr>
        <a:xfrm rot="10800000">
          <a:off x="369570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590</xdr:row>
      <xdr:rowOff>0</xdr:rowOff>
    </xdr:from>
    <xdr:to>
      <xdr:col>5</xdr:col>
      <xdr:colOff>83820</xdr:colOff>
      <xdr:row>590</xdr:row>
      <xdr:rowOff>114300</xdr:rowOff>
    </xdr:to>
    <xdr:sp macro="" textlink="">
      <xdr:nvSpPr>
        <xdr:cNvPr id="4513" name="Arrow: Down 4512">
          <a:extLst>
            <a:ext uri="{FF2B5EF4-FFF2-40B4-BE49-F238E27FC236}">
              <a16:creationId xmlns:a16="http://schemas.microsoft.com/office/drawing/2014/main" id="{626DC0DC-28EB-4C41-8AD4-0A2F1C116DB7}"/>
            </a:ext>
          </a:extLst>
        </xdr:cNvPr>
        <xdr:cNvSpPr/>
      </xdr:nvSpPr>
      <xdr:spPr>
        <a:xfrm rot="10800000">
          <a:off x="192786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590</xdr:row>
      <xdr:rowOff>0</xdr:rowOff>
    </xdr:from>
    <xdr:to>
      <xdr:col>60</xdr:col>
      <xdr:colOff>83820</xdr:colOff>
      <xdr:row>590</xdr:row>
      <xdr:rowOff>114300</xdr:rowOff>
    </xdr:to>
    <xdr:sp macro="" textlink="">
      <xdr:nvSpPr>
        <xdr:cNvPr id="4515" name="Arrow: Down 4514">
          <a:extLst>
            <a:ext uri="{FF2B5EF4-FFF2-40B4-BE49-F238E27FC236}">
              <a16:creationId xmlns:a16="http://schemas.microsoft.com/office/drawing/2014/main" id="{B3B54409-847C-4924-8997-08385189ECF7}"/>
            </a:ext>
          </a:extLst>
        </xdr:cNvPr>
        <xdr:cNvSpPr/>
      </xdr:nvSpPr>
      <xdr:spPr>
        <a:xfrm>
          <a:off x="190804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590</xdr:row>
      <xdr:rowOff>0</xdr:rowOff>
    </xdr:from>
    <xdr:to>
      <xdr:col>24</xdr:col>
      <xdr:colOff>83820</xdr:colOff>
      <xdr:row>590</xdr:row>
      <xdr:rowOff>114300</xdr:rowOff>
    </xdr:to>
    <xdr:sp macro="" textlink="">
      <xdr:nvSpPr>
        <xdr:cNvPr id="4518" name="Arrow: Down 4517">
          <a:extLst>
            <a:ext uri="{FF2B5EF4-FFF2-40B4-BE49-F238E27FC236}">
              <a16:creationId xmlns:a16="http://schemas.microsoft.com/office/drawing/2014/main" id="{17EB7FEF-7681-4769-86FD-C531E5F91E0E}"/>
            </a:ext>
          </a:extLst>
        </xdr:cNvPr>
        <xdr:cNvSpPr/>
      </xdr:nvSpPr>
      <xdr:spPr>
        <a:xfrm rot="10800000">
          <a:off x="8336280" y="10799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590</xdr:row>
      <xdr:rowOff>0</xdr:rowOff>
    </xdr:from>
    <xdr:to>
      <xdr:col>39</xdr:col>
      <xdr:colOff>83820</xdr:colOff>
      <xdr:row>590</xdr:row>
      <xdr:rowOff>114300</xdr:rowOff>
    </xdr:to>
    <xdr:sp macro="" textlink="">
      <xdr:nvSpPr>
        <xdr:cNvPr id="4519" name="Arrow: Down 4518">
          <a:extLst>
            <a:ext uri="{FF2B5EF4-FFF2-40B4-BE49-F238E27FC236}">
              <a16:creationId xmlns:a16="http://schemas.microsoft.com/office/drawing/2014/main" id="{368C159D-C92D-4E86-B969-6E9719EAEA6A}"/>
            </a:ext>
          </a:extLst>
        </xdr:cNvPr>
        <xdr:cNvSpPr/>
      </xdr:nvSpPr>
      <xdr:spPr>
        <a:xfrm rot="10800000">
          <a:off x="1154430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591</xdr:row>
      <xdr:rowOff>0</xdr:rowOff>
    </xdr:from>
    <xdr:to>
      <xdr:col>45</xdr:col>
      <xdr:colOff>83820</xdr:colOff>
      <xdr:row>591</xdr:row>
      <xdr:rowOff>114300</xdr:rowOff>
    </xdr:to>
    <xdr:sp macro="" textlink="">
      <xdr:nvSpPr>
        <xdr:cNvPr id="4527" name="Arrow: Down 4526">
          <a:extLst>
            <a:ext uri="{FF2B5EF4-FFF2-40B4-BE49-F238E27FC236}">
              <a16:creationId xmlns:a16="http://schemas.microsoft.com/office/drawing/2014/main" id="{93007FBB-FC53-4A84-9014-E8AC30C39299}"/>
            </a:ext>
          </a:extLst>
        </xdr:cNvPr>
        <xdr:cNvSpPr/>
      </xdr:nvSpPr>
      <xdr:spPr>
        <a:xfrm rot="10800000">
          <a:off x="1340358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591</xdr:row>
      <xdr:rowOff>0</xdr:rowOff>
    </xdr:from>
    <xdr:to>
      <xdr:col>71</xdr:col>
      <xdr:colOff>83820</xdr:colOff>
      <xdr:row>591</xdr:row>
      <xdr:rowOff>114300</xdr:rowOff>
    </xdr:to>
    <xdr:sp macro="" textlink="">
      <xdr:nvSpPr>
        <xdr:cNvPr id="4528" name="Arrow: Down 4527">
          <a:extLst>
            <a:ext uri="{FF2B5EF4-FFF2-40B4-BE49-F238E27FC236}">
              <a16:creationId xmlns:a16="http://schemas.microsoft.com/office/drawing/2014/main" id="{15330276-CC43-4F39-A0A9-FF37E7BA12C5}"/>
            </a:ext>
          </a:extLst>
        </xdr:cNvPr>
        <xdr:cNvSpPr/>
      </xdr:nvSpPr>
      <xdr:spPr>
        <a:xfrm>
          <a:off x="2180082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591</xdr:row>
      <xdr:rowOff>0</xdr:rowOff>
    </xdr:from>
    <xdr:to>
      <xdr:col>11</xdr:col>
      <xdr:colOff>83820</xdr:colOff>
      <xdr:row>591</xdr:row>
      <xdr:rowOff>114300</xdr:rowOff>
    </xdr:to>
    <xdr:sp macro="" textlink="">
      <xdr:nvSpPr>
        <xdr:cNvPr id="4534" name="Arrow: Down 4533">
          <a:extLst>
            <a:ext uri="{FF2B5EF4-FFF2-40B4-BE49-F238E27FC236}">
              <a16:creationId xmlns:a16="http://schemas.microsoft.com/office/drawing/2014/main" id="{27A74100-8352-479E-B8D9-3628C468F32C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591</xdr:row>
      <xdr:rowOff>0</xdr:rowOff>
    </xdr:from>
    <xdr:to>
      <xdr:col>5</xdr:col>
      <xdr:colOff>83820</xdr:colOff>
      <xdr:row>591</xdr:row>
      <xdr:rowOff>114300</xdr:rowOff>
    </xdr:to>
    <xdr:sp macro="" textlink="">
      <xdr:nvSpPr>
        <xdr:cNvPr id="4535" name="Arrow: Down 4534">
          <a:extLst>
            <a:ext uri="{FF2B5EF4-FFF2-40B4-BE49-F238E27FC236}">
              <a16:creationId xmlns:a16="http://schemas.microsoft.com/office/drawing/2014/main" id="{553BDBE5-E9A8-4CD0-98BB-A5868695B606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591</xdr:row>
      <xdr:rowOff>0</xdr:rowOff>
    </xdr:from>
    <xdr:to>
      <xdr:col>24</xdr:col>
      <xdr:colOff>83820</xdr:colOff>
      <xdr:row>591</xdr:row>
      <xdr:rowOff>114300</xdr:rowOff>
    </xdr:to>
    <xdr:sp macro="" textlink="">
      <xdr:nvSpPr>
        <xdr:cNvPr id="4536" name="Arrow: Down 4535">
          <a:extLst>
            <a:ext uri="{FF2B5EF4-FFF2-40B4-BE49-F238E27FC236}">
              <a16:creationId xmlns:a16="http://schemas.microsoft.com/office/drawing/2014/main" id="{A947B7D6-0F69-4CF7-8392-301C2D83713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591</xdr:row>
      <xdr:rowOff>0</xdr:rowOff>
    </xdr:from>
    <xdr:to>
      <xdr:col>39</xdr:col>
      <xdr:colOff>83820</xdr:colOff>
      <xdr:row>591</xdr:row>
      <xdr:rowOff>114300</xdr:rowOff>
    </xdr:to>
    <xdr:sp macro="" textlink="">
      <xdr:nvSpPr>
        <xdr:cNvPr id="4538" name="Arrow: Down 4537">
          <a:extLst>
            <a:ext uri="{FF2B5EF4-FFF2-40B4-BE49-F238E27FC236}">
              <a16:creationId xmlns:a16="http://schemas.microsoft.com/office/drawing/2014/main" id="{A58D9E66-6DD1-4475-83E2-FAB9FCF1A96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591</xdr:row>
      <xdr:rowOff>0</xdr:rowOff>
    </xdr:from>
    <xdr:to>
      <xdr:col>60</xdr:col>
      <xdr:colOff>83820</xdr:colOff>
      <xdr:row>591</xdr:row>
      <xdr:rowOff>114300</xdr:rowOff>
    </xdr:to>
    <xdr:sp macro="" textlink="">
      <xdr:nvSpPr>
        <xdr:cNvPr id="4540" name="Arrow: Down 4539">
          <a:extLst>
            <a:ext uri="{FF2B5EF4-FFF2-40B4-BE49-F238E27FC236}">
              <a16:creationId xmlns:a16="http://schemas.microsoft.com/office/drawing/2014/main" id="{04DF1A6A-1CF4-4927-B5CF-0BB4D3ACB449}"/>
            </a:ext>
          </a:extLst>
        </xdr:cNvPr>
        <xdr:cNvSpPr/>
      </xdr:nvSpPr>
      <xdr:spPr>
        <a:xfrm rot="10800000">
          <a:off x="1908048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592</xdr:row>
      <xdr:rowOff>0</xdr:rowOff>
    </xdr:from>
    <xdr:to>
      <xdr:col>45</xdr:col>
      <xdr:colOff>83820</xdr:colOff>
      <xdr:row>592</xdr:row>
      <xdr:rowOff>114300</xdr:rowOff>
    </xdr:to>
    <xdr:sp macro="" textlink="">
      <xdr:nvSpPr>
        <xdr:cNvPr id="4548" name="Arrow: Down 4547">
          <a:extLst>
            <a:ext uri="{FF2B5EF4-FFF2-40B4-BE49-F238E27FC236}">
              <a16:creationId xmlns:a16="http://schemas.microsoft.com/office/drawing/2014/main" id="{9020A1C6-77C2-4A12-81CC-6E7E92FEE647}"/>
            </a:ext>
          </a:extLst>
        </xdr:cNvPr>
        <xdr:cNvSpPr/>
      </xdr:nvSpPr>
      <xdr:spPr>
        <a:xfrm rot="10800000">
          <a:off x="134035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592</xdr:row>
      <xdr:rowOff>0</xdr:rowOff>
    </xdr:from>
    <xdr:to>
      <xdr:col>71</xdr:col>
      <xdr:colOff>83820</xdr:colOff>
      <xdr:row>592</xdr:row>
      <xdr:rowOff>114300</xdr:rowOff>
    </xdr:to>
    <xdr:sp macro="" textlink="">
      <xdr:nvSpPr>
        <xdr:cNvPr id="4549" name="Arrow: Down 4548">
          <a:extLst>
            <a:ext uri="{FF2B5EF4-FFF2-40B4-BE49-F238E27FC236}">
              <a16:creationId xmlns:a16="http://schemas.microsoft.com/office/drawing/2014/main" id="{EFA84B6F-3B8E-4EE7-BEEB-09BF87AFCD4A}"/>
            </a:ext>
          </a:extLst>
        </xdr:cNvPr>
        <xdr:cNvSpPr/>
      </xdr:nvSpPr>
      <xdr:spPr>
        <a:xfrm>
          <a:off x="2180082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592</xdr:row>
      <xdr:rowOff>0</xdr:rowOff>
    </xdr:from>
    <xdr:to>
      <xdr:col>11</xdr:col>
      <xdr:colOff>83820</xdr:colOff>
      <xdr:row>592</xdr:row>
      <xdr:rowOff>114300</xdr:rowOff>
    </xdr:to>
    <xdr:sp macro="" textlink="">
      <xdr:nvSpPr>
        <xdr:cNvPr id="4550" name="Arrow: Down 4549">
          <a:extLst>
            <a:ext uri="{FF2B5EF4-FFF2-40B4-BE49-F238E27FC236}">
              <a16:creationId xmlns:a16="http://schemas.microsoft.com/office/drawing/2014/main" id="{88A262DD-576F-4C3E-BDE3-D1F9B5CDAC22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592</xdr:row>
      <xdr:rowOff>0</xdr:rowOff>
    </xdr:from>
    <xdr:to>
      <xdr:col>5</xdr:col>
      <xdr:colOff>83820</xdr:colOff>
      <xdr:row>592</xdr:row>
      <xdr:rowOff>114300</xdr:rowOff>
    </xdr:to>
    <xdr:sp macro="" textlink="">
      <xdr:nvSpPr>
        <xdr:cNvPr id="4551" name="Arrow: Down 4550">
          <a:extLst>
            <a:ext uri="{FF2B5EF4-FFF2-40B4-BE49-F238E27FC236}">
              <a16:creationId xmlns:a16="http://schemas.microsoft.com/office/drawing/2014/main" id="{70AF4DD0-C9E1-49A8-8D58-78264F42CEAE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592</xdr:row>
      <xdr:rowOff>0</xdr:rowOff>
    </xdr:from>
    <xdr:to>
      <xdr:col>24</xdr:col>
      <xdr:colOff>83820</xdr:colOff>
      <xdr:row>592</xdr:row>
      <xdr:rowOff>114300</xdr:rowOff>
    </xdr:to>
    <xdr:sp macro="" textlink="">
      <xdr:nvSpPr>
        <xdr:cNvPr id="4552" name="Arrow: Down 4551">
          <a:extLst>
            <a:ext uri="{FF2B5EF4-FFF2-40B4-BE49-F238E27FC236}">
              <a16:creationId xmlns:a16="http://schemas.microsoft.com/office/drawing/2014/main" id="{9BC899E0-E855-4FE3-92BF-11E984F6D4D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592</xdr:row>
      <xdr:rowOff>0</xdr:rowOff>
    </xdr:from>
    <xdr:to>
      <xdr:col>39</xdr:col>
      <xdr:colOff>83820</xdr:colOff>
      <xdr:row>592</xdr:row>
      <xdr:rowOff>114300</xdr:rowOff>
    </xdr:to>
    <xdr:sp macro="" textlink="">
      <xdr:nvSpPr>
        <xdr:cNvPr id="4553" name="Arrow: Down 4552">
          <a:extLst>
            <a:ext uri="{FF2B5EF4-FFF2-40B4-BE49-F238E27FC236}">
              <a16:creationId xmlns:a16="http://schemas.microsoft.com/office/drawing/2014/main" id="{425109E4-6285-4104-9B6E-014FF2090EE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592</xdr:row>
      <xdr:rowOff>0</xdr:rowOff>
    </xdr:from>
    <xdr:to>
      <xdr:col>60</xdr:col>
      <xdr:colOff>83820</xdr:colOff>
      <xdr:row>592</xdr:row>
      <xdr:rowOff>114300</xdr:rowOff>
    </xdr:to>
    <xdr:sp macro="" textlink="">
      <xdr:nvSpPr>
        <xdr:cNvPr id="4556" name="Arrow: Down 4555">
          <a:extLst>
            <a:ext uri="{FF2B5EF4-FFF2-40B4-BE49-F238E27FC236}">
              <a16:creationId xmlns:a16="http://schemas.microsoft.com/office/drawing/2014/main" id="{87C3F8DB-BB7E-4CD2-A1F2-6FFA9E1D203E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593</xdr:row>
      <xdr:rowOff>0</xdr:rowOff>
    </xdr:from>
    <xdr:to>
      <xdr:col>45</xdr:col>
      <xdr:colOff>83820</xdr:colOff>
      <xdr:row>593</xdr:row>
      <xdr:rowOff>114300</xdr:rowOff>
    </xdr:to>
    <xdr:sp macro="" textlink="">
      <xdr:nvSpPr>
        <xdr:cNvPr id="4557" name="Arrow: Down 4556">
          <a:extLst>
            <a:ext uri="{FF2B5EF4-FFF2-40B4-BE49-F238E27FC236}">
              <a16:creationId xmlns:a16="http://schemas.microsoft.com/office/drawing/2014/main" id="{5962A076-81DF-4E63-B986-0FEE33A1B0BE}"/>
            </a:ext>
          </a:extLst>
        </xdr:cNvPr>
        <xdr:cNvSpPr/>
      </xdr:nvSpPr>
      <xdr:spPr>
        <a:xfrm rot="10800000">
          <a:off x="134035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593</xdr:row>
      <xdr:rowOff>0</xdr:rowOff>
    </xdr:from>
    <xdr:to>
      <xdr:col>71</xdr:col>
      <xdr:colOff>83820</xdr:colOff>
      <xdr:row>593</xdr:row>
      <xdr:rowOff>114300</xdr:rowOff>
    </xdr:to>
    <xdr:sp macro="" textlink="">
      <xdr:nvSpPr>
        <xdr:cNvPr id="4558" name="Arrow: Down 4557">
          <a:extLst>
            <a:ext uri="{FF2B5EF4-FFF2-40B4-BE49-F238E27FC236}">
              <a16:creationId xmlns:a16="http://schemas.microsoft.com/office/drawing/2014/main" id="{42B44155-5239-43D2-B3E1-D9B3C3A9235C}"/>
            </a:ext>
          </a:extLst>
        </xdr:cNvPr>
        <xdr:cNvSpPr/>
      </xdr:nvSpPr>
      <xdr:spPr>
        <a:xfrm>
          <a:off x="2180082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593</xdr:row>
      <xdr:rowOff>0</xdr:rowOff>
    </xdr:from>
    <xdr:to>
      <xdr:col>60</xdr:col>
      <xdr:colOff>83820</xdr:colOff>
      <xdr:row>593</xdr:row>
      <xdr:rowOff>114300</xdr:rowOff>
    </xdr:to>
    <xdr:sp macro="" textlink="">
      <xdr:nvSpPr>
        <xdr:cNvPr id="4563" name="Arrow: Down 4562">
          <a:extLst>
            <a:ext uri="{FF2B5EF4-FFF2-40B4-BE49-F238E27FC236}">
              <a16:creationId xmlns:a16="http://schemas.microsoft.com/office/drawing/2014/main" id="{8B958F90-00AD-4607-9020-59A7157E0CA0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593</xdr:row>
      <xdr:rowOff>0</xdr:rowOff>
    </xdr:from>
    <xdr:to>
      <xdr:col>11</xdr:col>
      <xdr:colOff>83820</xdr:colOff>
      <xdr:row>593</xdr:row>
      <xdr:rowOff>114300</xdr:rowOff>
    </xdr:to>
    <xdr:sp macro="" textlink="">
      <xdr:nvSpPr>
        <xdr:cNvPr id="4564" name="Arrow: Down 4563">
          <a:extLst>
            <a:ext uri="{FF2B5EF4-FFF2-40B4-BE49-F238E27FC236}">
              <a16:creationId xmlns:a16="http://schemas.microsoft.com/office/drawing/2014/main" id="{1ED8B186-9E14-43FA-BC3C-F1E15B1F7ABA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593</xdr:row>
      <xdr:rowOff>0</xdr:rowOff>
    </xdr:from>
    <xdr:to>
      <xdr:col>5</xdr:col>
      <xdr:colOff>83820</xdr:colOff>
      <xdr:row>593</xdr:row>
      <xdr:rowOff>114300</xdr:rowOff>
    </xdr:to>
    <xdr:sp macro="" textlink="">
      <xdr:nvSpPr>
        <xdr:cNvPr id="4565" name="Arrow: Down 4564">
          <a:extLst>
            <a:ext uri="{FF2B5EF4-FFF2-40B4-BE49-F238E27FC236}">
              <a16:creationId xmlns:a16="http://schemas.microsoft.com/office/drawing/2014/main" id="{C38EDF74-1F41-46EE-AD4B-6F0A478689F9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593</xdr:row>
      <xdr:rowOff>0</xdr:rowOff>
    </xdr:from>
    <xdr:to>
      <xdr:col>24</xdr:col>
      <xdr:colOff>83820</xdr:colOff>
      <xdr:row>593</xdr:row>
      <xdr:rowOff>114300</xdr:rowOff>
    </xdr:to>
    <xdr:sp macro="" textlink="">
      <xdr:nvSpPr>
        <xdr:cNvPr id="4566" name="Arrow: Down 4565">
          <a:extLst>
            <a:ext uri="{FF2B5EF4-FFF2-40B4-BE49-F238E27FC236}">
              <a16:creationId xmlns:a16="http://schemas.microsoft.com/office/drawing/2014/main" id="{B08F2BB0-1B4F-47FD-B093-5B5A378E5B6B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593</xdr:row>
      <xdr:rowOff>0</xdr:rowOff>
    </xdr:from>
    <xdr:to>
      <xdr:col>39</xdr:col>
      <xdr:colOff>83820</xdr:colOff>
      <xdr:row>593</xdr:row>
      <xdr:rowOff>114300</xdr:rowOff>
    </xdr:to>
    <xdr:sp macro="" textlink="">
      <xdr:nvSpPr>
        <xdr:cNvPr id="4568" name="Arrow: Down 4567">
          <a:extLst>
            <a:ext uri="{FF2B5EF4-FFF2-40B4-BE49-F238E27FC236}">
              <a16:creationId xmlns:a16="http://schemas.microsoft.com/office/drawing/2014/main" id="{4A30F9B6-E3C5-4EC5-939D-3C3D8370431C}"/>
            </a:ext>
          </a:extLst>
        </xdr:cNvPr>
        <xdr:cNvSpPr/>
      </xdr:nvSpPr>
      <xdr:spPr>
        <a:xfrm rot="10800000">
          <a:off x="1154430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594</xdr:row>
      <xdr:rowOff>0</xdr:rowOff>
    </xdr:from>
    <xdr:to>
      <xdr:col>45</xdr:col>
      <xdr:colOff>83820</xdr:colOff>
      <xdr:row>594</xdr:row>
      <xdr:rowOff>114300</xdr:rowOff>
    </xdr:to>
    <xdr:sp macro="" textlink="">
      <xdr:nvSpPr>
        <xdr:cNvPr id="4569" name="Arrow: Down 4568">
          <a:extLst>
            <a:ext uri="{FF2B5EF4-FFF2-40B4-BE49-F238E27FC236}">
              <a16:creationId xmlns:a16="http://schemas.microsoft.com/office/drawing/2014/main" id="{DB038E05-F19A-4D74-B615-0F525DC9A1E0}"/>
            </a:ext>
          </a:extLst>
        </xdr:cNvPr>
        <xdr:cNvSpPr/>
      </xdr:nvSpPr>
      <xdr:spPr>
        <a:xfrm rot="10800000">
          <a:off x="1340358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594</xdr:row>
      <xdr:rowOff>0</xdr:rowOff>
    </xdr:from>
    <xdr:to>
      <xdr:col>71</xdr:col>
      <xdr:colOff>83820</xdr:colOff>
      <xdr:row>594</xdr:row>
      <xdr:rowOff>114300</xdr:rowOff>
    </xdr:to>
    <xdr:sp macro="" textlink="">
      <xdr:nvSpPr>
        <xdr:cNvPr id="4570" name="Arrow: Down 4569">
          <a:extLst>
            <a:ext uri="{FF2B5EF4-FFF2-40B4-BE49-F238E27FC236}">
              <a16:creationId xmlns:a16="http://schemas.microsoft.com/office/drawing/2014/main" id="{9B60CAE7-BF55-498F-9FA0-8304A4F2BDEA}"/>
            </a:ext>
          </a:extLst>
        </xdr:cNvPr>
        <xdr:cNvSpPr/>
      </xdr:nvSpPr>
      <xdr:spPr>
        <a:xfrm>
          <a:off x="2180082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594</xdr:row>
      <xdr:rowOff>0</xdr:rowOff>
    </xdr:from>
    <xdr:to>
      <xdr:col>11</xdr:col>
      <xdr:colOff>83820</xdr:colOff>
      <xdr:row>594</xdr:row>
      <xdr:rowOff>114300</xdr:rowOff>
    </xdr:to>
    <xdr:sp macro="" textlink="">
      <xdr:nvSpPr>
        <xdr:cNvPr id="4572" name="Arrow: Down 4571">
          <a:extLst>
            <a:ext uri="{FF2B5EF4-FFF2-40B4-BE49-F238E27FC236}">
              <a16:creationId xmlns:a16="http://schemas.microsoft.com/office/drawing/2014/main" id="{63CCAA3F-FEF5-4E86-A985-D21D89DF02D8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594</xdr:row>
      <xdr:rowOff>0</xdr:rowOff>
    </xdr:from>
    <xdr:to>
      <xdr:col>5</xdr:col>
      <xdr:colOff>83820</xdr:colOff>
      <xdr:row>594</xdr:row>
      <xdr:rowOff>114300</xdr:rowOff>
    </xdr:to>
    <xdr:sp macro="" textlink="">
      <xdr:nvSpPr>
        <xdr:cNvPr id="4573" name="Arrow: Down 4572">
          <a:extLst>
            <a:ext uri="{FF2B5EF4-FFF2-40B4-BE49-F238E27FC236}">
              <a16:creationId xmlns:a16="http://schemas.microsoft.com/office/drawing/2014/main" id="{E767D6A9-FEAB-4402-8C63-E266B713CB56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594</xdr:row>
      <xdr:rowOff>0</xdr:rowOff>
    </xdr:from>
    <xdr:to>
      <xdr:col>24</xdr:col>
      <xdr:colOff>83820</xdr:colOff>
      <xdr:row>594</xdr:row>
      <xdr:rowOff>114300</xdr:rowOff>
    </xdr:to>
    <xdr:sp macro="" textlink="">
      <xdr:nvSpPr>
        <xdr:cNvPr id="4574" name="Arrow: Down 4573">
          <a:extLst>
            <a:ext uri="{FF2B5EF4-FFF2-40B4-BE49-F238E27FC236}">
              <a16:creationId xmlns:a16="http://schemas.microsoft.com/office/drawing/2014/main" id="{59C9D629-3934-4812-9B2D-8417FA6733FC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594</xdr:row>
      <xdr:rowOff>0</xdr:rowOff>
    </xdr:from>
    <xdr:to>
      <xdr:col>39</xdr:col>
      <xdr:colOff>83820</xdr:colOff>
      <xdr:row>594</xdr:row>
      <xdr:rowOff>114300</xdr:rowOff>
    </xdr:to>
    <xdr:sp macro="" textlink="">
      <xdr:nvSpPr>
        <xdr:cNvPr id="4576" name="Arrow: Down 4575">
          <a:extLst>
            <a:ext uri="{FF2B5EF4-FFF2-40B4-BE49-F238E27FC236}">
              <a16:creationId xmlns:a16="http://schemas.microsoft.com/office/drawing/2014/main" id="{5641F891-12A8-40DB-B148-84B853BE7CB0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594</xdr:row>
      <xdr:rowOff>0</xdr:rowOff>
    </xdr:from>
    <xdr:to>
      <xdr:col>60</xdr:col>
      <xdr:colOff>83820</xdr:colOff>
      <xdr:row>594</xdr:row>
      <xdr:rowOff>114300</xdr:rowOff>
    </xdr:to>
    <xdr:sp macro="" textlink="">
      <xdr:nvSpPr>
        <xdr:cNvPr id="4578" name="Arrow: Down 4577">
          <a:extLst>
            <a:ext uri="{FF2B5EF4-FFF2-40B4-BE49-F238E27FC236}">
              <a16:creationId xmlns:a16="http://schemas.microsoft.com/office/drawing/2014/main" id="{E70C07DB-B757-4C3A-A41C-F4A794554448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595</xdr:row>
      <xdr:rowOff>0</xdr:rowOff>
    </xdr:from>
    <xdr:to>
      <xdr:col>45</xdr:col>
      <xdr:colOff>83820</xdr:colOff>
      <xdr:row>595</xdr:row>
      <xdr:rowOff>114300</xdr:rowOff>
    </xdr:to>
    <xdr:sp macro="" textlink="">
      <xdr:nvSpPr>
        <xdr:cNvPr id="4579" name="Arrow: Down 4578">
          <a:extLst>
            <a:ext uri="{FF2B5EF4-FFF2-40B4-BE49-F238E27FC236}">
              <a16:creationId xmlns:a16="http://schemas.microsoft.com/office/drawing/2014/main" id="{4F9AACA4-37F9-47A3-B1EB-FF4E7117102C}"/>
            </a:ext>
          </a:extLst>
        </xdr:cNvPr>
        <xdr:cNvSpPr/>
      </xdr:nvSpPr>
      <xdr:spPr>
        <a:xfrm rot="10800000">
          <a:off x="1340358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595</xdr:row>
      <xdr:rowOff>0</xdr:rowOff>
    </xdr:from>
    <xdr:to>
      <xdr:col>71</xdr:col>
      <xdr:colOff>83820</xdr:colOff>
      <xdr:row>595</xdr:row>
      <xdr:rowOff>114300</xdr:rowOff>
    </xdr:to>
    <xdr:sp macro="" textlink="">
      <xdr:nvSpPr>
        <xdr:cNvPr id="4580" name="Arrow: Down 4579">
          <a:extLst>
            <a:ext uri="{FF2B5EF4-FFF2-40B4-BE49-F238E27FC236}">
              <a16:creationId xmlns:a16="http://schemas.microsoft.com/office/drawing/2014/main" id="{CDDA2147-3D2A-4CAF-93B5-96C1A705BC8B}"/>
            </a:ext>
          </a:extLst>
        </xdr:cNvPr>
        <xdr:cNvSpPr/>
      </xdr:nvSpPr>
      <xdr:spPr>
        <a:xfrm>
          <a:off x="2180082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595</xdr:row>
      <xdr:rowOff>0</xdr:rowOff>
    </xdr:from>
    <xdr:to>
      <xdr:col>11</xdr:col>
      <xdr:colOff>83820</xdr:colOff>
      <xdr:row>595</xdr:row>
      <xdr:rowOff>114300</xdr:rowOff>
    </xdr:to>
    <xdr:sp macro="" textlink="">
      <xdr:nvSpPr>
        <xdr:cNvPr id="4581" name="Arrow: Down 4580">
          <a:extLst>
            <a:ext uri="{FF2B5EF4-FFF2-40B4-BE49-F238E27FC236}">
              <a16:creationId xmlns:a16="http://schemas.microsoft.com/office/drawing/2014/main" id="{98A71469-3071-4279-9CC6-C775E9E55EE2}"/>
            </a:ext>
          </a:extLst>
        </xdr:cNvPr>
        <xdr:cNvSpPr/>
      </xdr:nvSpPr>
      <xdr:spPr>
        <a:xfrm rot="10800000">
          <a:off x="36957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595</xdr:row>
      <xdr:rowOff>0</xdr:rowOff>
    </xdr:from>
    <xdr:to>
      <xdr:col>5</xdr:col>
      <xdr:colOff>83820</xdr:colOff>
      <xdr:row>595</xdr:row>
      <xdr:rowOff>114300</xdr:rowOff>
    </xdr:to>
    <xdr:sp macro="" textlink="">
      <xdr:nvSpPr>
        <xdr:cNvPr id="4582" name="Arrow: Down 4581">
          <a:extLst>
            <a:ext uri="{FF2B5EF4-FFF2-40B4-BE49-F238E27FC236}">
              <a16:creationId xmlns:a16="http://schemas.microsoft.com/office/drawing/2014/main" id="{CCE8D1AC-1EDF-4995-B0E8-36CED7C35CF4}"/>
            </a:ext>
          </a:extLst>
        </xdr:cNvPr>
        <xdr:cNvSpPr/>
      </xdr:nvSpPr>
      <xdr:spPr>
        <a:xfrm rot="10800000">
          <a:off x="192786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595</xdr:row>
      <xdr:rowOff>0</xdr:rowOff>
    </xdr:from>
    <xdr:to>
      <xdr:col>24</xdr:col>
      <xdr:colOff>83820</xdr:colOff>
      <xdr:row>595</xdr:row>
      <xdr:rowOff>114300</xdr:rowOff>
    </xdr:to>
    <xdr:sp macro="" textlink="">
      <xdr:nvSpPr>
        <xdr:cNvPr id="4583" name="Arrow: Down 4582">
          <a:extLst>
            <a:ext uri="{FF2B5EF4-FFF2-40B4-BE49-F238E27FC236}">
              <a16:creationId xmlns:a16="http://schemas.microsoft.com/office/drawing/2014/main" id="{383BBB4F-32D3-4C1B-B239-1E77DBA361EC}"/>
            </a:ext>
          </a:extLst>
        </xdr:cNvPr>
        <xdr:cNvSpPr/>
      </xdr:nvSpPr>
      <xdr:spPr>
        <a:xfrm rot="10800000">
          <a:off x="83362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595</xdr:row>
      <xdr:rowOff>0</xdr:rowOff>
    </xdr:from>
    <xdr:to>
      <xdr:col>39</xdr:col>
      <xdr:colOff>83820</xdr:colOff>
      <xdr:row>595</xdr:row>
      <xdr:rowOff>114300</xdr:rowOff>
    </xdr:to>
    <xdr:sp macro="" textlink="">
      <xdr:nvSpPr>
        <xdr:cNvPr id="4584" name="Arrow: Down 4583">
          <a:extLst>
            <a:ext uri="{FF2B5EF4-FFF2-40B4-BE49-F238E27FC236}">
              <a16:creationId xmlns:a16="http://schemas.microsoft.com/office/drawing/2014/main" id="{435A922B-1B2B-4F0E-BCF1-BE8EDCD7B46A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595</xdr:row>
      <xdr:rowOff>0</xdr:rowOff>
    </xdr:from>
    <xdr:to>
      <xdr:col>60</xdr:col>
      <xdr:colOff>83820</xdr:colOff>
      <xdr:row>595</xdr:row>
      <xdr:rowOff>114300</xdr:rowOff>
    </xdr:to>
    <xdr:sp macro="" textlink="">
      <xdr:nvSpPr>
        <xdr:cNvPr id="4585" name="Arrow: Down 4584">
          <a:extLst>
            <a:ext uri="{FF2B5EF4-FFF2-40B4-BE49-F238E27FC236}">
              <a16:creationId xmlns:a16="http://schemas.microsoft.com/office/drawing/2014/main" id="{CC5F1FE8-AE2A-462D-8F5B-7A0C517BBFAE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596</xdr:row>
      <xdr:rowOff>0</xdr:rowOff>
    </xdr:from>
    <xdr:to>
      <xdr:col>45</xdr:col>
      <xdr:colOff>83820</xdr:colOff>
      <xdr:row>596</xdr:row>
      <xdr:rowOff>114300</xdr:rowOff>
    </xdr:to>
    <xdr:sp macro="" textlink="">
      <xdr:nvSpPr>
        <xdr:cNvPr id="4586" name="Arrow: Down 4585">
          <a:extLst>
            <a:ext uri="{FF2B5EF4-FFF2-40B4-BE49-F238E27FC236}">
              <a16:creationId xmlns:a16="http://schemas.microsoft.com/office/drawing/2014/main" id="{BE7C5C1B-10B8-4642-B224-E77CF595250C}"/>
            </a:ext>
          </a:extLst>
        </xdr:cNvPr>
        <xdr:cNvSpPr/>
      </xdr:nvSpPr>
      <xdr:spPr>
        <a:xfrm rot="10800000">
          <a:off x="1340358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596</xdr:row>
      <xdr:rowOff>0</xdr:rowOff>
    </xdr:from>
    <xdr:to>
      <xdr:col>71</xdr:col>
      <xdr:colOff>83820</xdr:colOff>
      <xdr:row>596</xdr:row>
      <xdr:rowOff>114300</xdr:rowOff>
    </xdr:to>
    <xdr:sp macro="" textlink="">
      <xdr:nvSpPr>
        <xdr:cNvPr id="4587" name="Arrow: Down 4586">
          <a:extLst>
            <a:ext uri="{FF2B5EF4-FFF2-40B4-BE49-F238E27FC236}">
              <a16:creationId xmlns:a16="http://schemas.microsoft.com/office/drawing/2014/main" id="{94A9094E-8EB8-4D24-B049-61B998FDFB38}"/>
            </a:ext>
          </a:extLst>
        </xdr:cNvPr>
        <xdr:cNvSpPr/>
      </xdr:nvSpPr>
      <xdr:spPr>
        <a:xfrm>
          <a:off x="2180082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596</xdr:row>
      <xdr:rowOff>0</xdr:rowOff>
    </xdr:from>
    <xdr:to>
      <xdr:col>39</xdr:col>
      <xdr:colOff>83820</xdr:colOff>
      <xdr:row>596</xdr:row>
      <xdr:rowOff>114300</xdr:rowOff>
    </xdr:to>
    <xdr:sp macro="" textlink="">
      <xdr:nvSpPr>
        <xdr:cNvPr id="4591" name="Arrow: Down 4590">
          <a:extLst>
            <a:ext uri="{FF2B5EF4-FFF2-40B4-BE49-F238E27FC236}">
              <a16:creationId xmlns:a16="http://schemas.microsoft.com/office/drawing/2014/main" id="{D7D8921E-EEB4-4A0C-B96E-38E4859C7311}"/>
            </a:ext>
          </a:extLst>
        </xdr:cNvPr>
        <xdr:cNvSpPr/>
      </xdr:nvSpPr>
      <xdr:spPr>
        <a:xfrm>
          <a:off x="11544300" y="10891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596</xdr:row>
      <xdr:rowOff>0</xdr:rowOff>
    </xdr:from>
    <xdr:to>
      <xdr:col>60</xdr:col>
      <xdr:colOff>83820</xdr:colOff>
      <xdr:row>596</xdr:row>
      <xdr:rowOff>114300</xdr:rowOff>
    </xdr:to>
    <xdr:sp macro="" textlink="">
      <xdr:nvSpPr>
        <xdr:cNvPr id="4593" name="Arrow: Down 4592">
          <a:extLst>
            <a:ext uri="{FF2B5EF4-FFF2-40B4-BE49-F238E27FC236}">
              <a16:creationId xmlns:a16="http://schemas.microsoft.com/office/drawing/2014/main" id="{6B097F6D-ACBA-4AEF-AF36-CF120C0F207F}"/>
            </a:ext>
          </a:extLst>
        </xdr:cNvPr>
        <xdr:cNvSpPr/>
      </xdr:nvSpPr>
      <xdr:spPr>
        <a:xfrm>
          <a:off x="190804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596</xdr:row>
      <xdr:rowOff>0</xdr:rowOff>
    </xdr:from>
    <xdr:to>
      <xdr:col>24</xdr:col>
      <xdr:colOff>83820</xdr:colOff>
      <xdr:row>596</xdr:row>
      <xdr:rowOff>114300</xdr:rowOff>
    </xdr:to>
    <xdr:sp macro="" textlink="">
      <xdr:nvSpPr>
        <xdr:cNvPr id="4596" name="Arrow: Down 4595">
          <a:extLst>
            <a:ext uri="{FF2B5EF4-FFF2-40B4-BE49-F238E27FC236}">
              <a16:creationId xmlns:a16="http://schemas.microsoft.com/office/drawing/2014/main" id="{A63B3D9C-51F1-4174-B0F0-53D57C3234B5}"/>
            </a:ext>
          </a:extLst>
        </xdr:cNvPr>
        <xdr:cNvSpPr/>
      </xdr:nvSpPr>
      <xdr:spPr>
        <a:xfrm>
          <a:off x="83362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596</xdr:row>
      <xdr:rowOff>0</xdr:rowOff>
    </xdr:from>
    <xdr:to>
      <xdr:col>11</xdr:col>
      <xdr:colOff>83820</xdr:colOff>
      <xdr:row>596</xdr:row>
      <xdr:rowOff>114300</xdr:rowOff>
    </xdr:to>
    <xdr:sp macro="" textlink="">
      <xdr:nvSpPr>
        <xdr:cNvPr id="4598" name="Arrow: Down 4597">
          <a:extLst>
            <a:ext uri="{FF2B5EF4-FFF2-40B4-BE49-F238E27FC236}">
              <a16:creationId xmlns:a16="http://schemas.microsoft.com/office/drawing/2014/main" id="{D46E1DD7-3AE4-4648-8AF2-CF1954E364B8}"/>
            </a:ext>
          </a:extLst>
        </xdr:cNvPr>
        <xdr:cNvSpPr/>
      </xdr:nvSpPr>
      <xdr:spPr>
        <a:xfrm>
          <a:off x="369570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596</xdr:row>
      <xdr:rowOff>0</xdr:rowOff>
    </xdr:from>
    <xdr:to>
      <xdr:col>5</xdr:col>
      <xdr:colOff>83820</xdr:colOff>
      <xdr:row>596</xdr:row>
      <xdr:rowOff>114300</xdr:rowOff>
    </xdr:to>
    <xdr:sp macro="" textlink="">
      <xdr:nvSpPr>
        <xdr:cNvPr id="4600" name="Arrow: Down 4599">
          <a:extLst>
            <a:ext uri="{FF2B5EF4-FFF2-40B4-BE49-F238E27FC236}">
              <a16:creationId xmlns:a16="http://schemas.microsoft.com/office/drawing/2014/main" id="{420013C6-E354-45D5-9CA5-60D1C821CC45}"/>
            </a:ext>
          </a:extLst>
        </xdr:cNvPr>
        <xdr:cNvSpPr/>
      </xdr:nvSpPr>
      <xdr:spPr>
        <a:xfrm>
          <a:off x="192786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597</xdr:row>
      <xdr:rowOff>0</xdr:rowOff>
    </xdr:from>
    <xdr:to>
      <xdr:col>45</xdr:col>
      <xdr:colOff>83820</xdr:colOff>
      <xdr:row>597</xdr:row>
      <xdr:rowOff>114300</xdr:rowOff>
    </xdr:to>
    <xdr:sp macro="" textlink="">
      <xdr:nvSpPr>
        <xdr:cNvPr id="4608" name="Arrow: Down 4607">
          <a:extLst>
            <a:ext uri="{FF2B5EF4-FFF2-40B4-BE49-F238E27FC236}">
              <a16:creationId xmlns:a16="http://schemas.microsoft.com/office/drawing/2014/main" id="{40A2F2A7-DB47-4323-A877-8B46EB7F76F0}"/>
            </a:ext>
          </a:extLst>
        </xdr:cNvPr>
        <xdr:cNvSpPr/>
      </xdr:nvSpPr>
      <xdr:spPr>
        <a:xfrm rot="10800000">
          <a:off x="134035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597</xdr:row>
      <xdr:rowOff>0</xdr:rowOff>
    </xdr:from>
    <xdr:to>
      <xdr:col>71</xdr:col>
      <xdr:colOff>83820</xdr:colOff>
      <xdr:row>597</xdr:row>
      <xdr:rowOff>114300</xdr:rowOff>
    </xdr:to>
    <xdr:sp macro="" textlink="">
      <xdr:nvSpPr>
        <xdr:cNvPr id="4609" name="Arrow: Down 4608">
          <a:extLst>
            <a:ext uri="{FF2B5EF4-FFF2-40B4-BE49-F238E27FC236}">
              <a16:creationId xmlns:a16="http://schemas.microsoft.com/office/drawing/2014/main" id="{C6E6E6DE-73C3-42F1-94F0-C64C9B7BF2B2}"/>
            </a:ext>
          </a:extLst>
        </xdr:cNvPr>
        <xdr:cNvSpPr/>
      </xdr:nvSpPr>
      <xdr:spPr>
        <a:xfrm>
          <a:off x="2180082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597</xdr:row>
      <xdr:rowOff>0</xdr:rowOff>
    </xdr:from>
    <xdr:to>
      <xdr:col>39</xdr:col>
      <xdr:colOff>83820</xdr:colOff>
      <xdr:row>597</xdr:row>
      <xdr:rowOff>114300</xdr:rowOff>
    </xdr:to>
    <xdr:sp macro="" textlink="">
      <xdr:nvSpPr>
        <xdr:cNvPr id="4610" name="Arrow: Down 4609">
          <a:extLst>
            <a:ext uri="{FF2B5EF4-FFF2-40B4-BE49-F238E27FC236}">
              <a16:creationId xmlns:a16="http://schemas.microsoft.com/office/drawing/2014/main" id="{CFF185F1-EF9F-4122-9231-3BF4772C3B88}"/>
            </a:ext>
          </a:extLst>
        </xdr:cNvPr>
        <xdr:cNvSpPr/>
      </xdr:nvSpPr>
      <xdr:spPr>
        <a:xfrm>
          <a:off x="11544300" y="10909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597</xdr:row>
      <xdr:rowOff>0</xdr:rowOff>
    </xdr:from>
    <xdr:to>
      <xdr:col>60</xdr:col>
      <xdr:colOff>83820</xdr:colOff>
      <xdr:row>597</xdr:row>
      <xdr:rowOff>114300</xdr:rowOff>
    </xdr:to>
    <xdr:sp macro="" textlink="">
      <xdr:nvSpPr>
        <xdr:cNvPr id="4616" name="Arrow: Down 4615">
          <a:extLst>
            <a:ext uri="{FF2B5EF4-FFF2-40B4-BE49-F238E27FC236}">
              <a16:creationId xmlns:a16="http://schemas.microsoft.com/office/drawing/2014/main" id="{C84A0CC3-C3F6-40A9-8115-6BBCE356660F}"/>
            </a:ext>
          </a:extLst>
        </xdr:cNvPr>
        <xdr:cNvSpPr/>
      </xdr:nvSpPr>
      <xdr:spPr>
        <a:xfrm rot="10800000">
          <a:off x="190804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597</xdr:row>
      <xdr:rowOff>0</xdr:rowOff>
    </xdr:from>
    <xdr:to>
      <xdr:col>24</xdr:col>
      <xdr:colOff>83820</xdr:colOff>
      <xdr:row>597</xdr:row>
      <xdr:rowOff>114300</xdr:rowOff>
    </xdr:to>
    <xdr:sp macro="" textlink="">
      <xdr:nvSpPr>
        <xdr:cNvPr id="4619" name="Arrow: Down 4618">
          <a:extLst>
            <a:ext uri="{FF2B5EF4-FFF2-40B4-BE49-F238E27FC236}">
              <a16:creationId xmlns:a16="http://schemas.microsoft.com/office/drawing/2014/main" id="{42753702-2E8B-46E7-9AD3-EA01241B5B8D}"/>
            </a:ext>
          </a:extLst>
        </xdr:cNvPr>
        <xdr:cNvSpPr/>
      </xdr:nvSpPr>
      <xdr:spPr>
        <a:xfrm rot="10800000">
          <a:off x="83362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597</xdr:row>
      <xdr:rowOff>0</xdr:rowOff>
    </xdr:from>
    <xdr:to>
      <xdr:col>5</xdr:col>
      <xdr:colOff>83820</xdr:colOff>
      <xdr:row>597</xdr:row>
      <xdr:rowOff>114300</xdr:rowOff>
    </xdr:to>
    <xdr:sp macro="" textlink="">
      <xdr:nvSpPr>
        <xdr:cNvPr id="4620" name="Arrow: Down 4619">
          <a:extLst>
            <a:ext uri="{FF2B5EF4-FFF2-40B4-BE49-F238E27FC236}">
              <a16:creationId xmlns:a16="http://schemas.microsoft.com/office/drawing/2014/main" id="{2FED5375-83FA-493F-B4EB-6EAF380A52BC}"/>
            </a:ext>
          </a:extLst>
        </xdr:cNvPr>
        <xdr:cNvSpPr/>
      </xdr:nvSpPr>
      <xdr:spPr>
        <a:xfrm rot="10800000">
          <a:off x="192786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597</xdr:row>
      <xdr:rowOff>0</xdr:rowOff>
    </xdr:from>
    <xdr:to>
      <xdr:col>11</xdr:col>
      <xdr:colOff>83820</xdr:colOff>
      <xdr:row>597</xdr:row>
      <xdr:rowOff>114300</xdr:rowOff>
    </xdr:to>
    <xdr:sp macro="" textlink="">
      <xdr:nvSpPr>
        <xdr:cNvPr id="4622" name="Arrow: Down 4621">
          <a:extLst>
            <a:ext uri="{FF2B5EF4-FFF2-40B4-BE49-F238E27FC236}">
              <a16:creationId xmlns:a16="http://schemas.microsoft.com/office/drawing/2014/main" id="{73D48F42-D1EA-452D-B864-FD2F3FF17154}"/>
            </a:ext>
          </a:extLst>
        </xdr:cNvPr>
        <xdr:cNvSpPr/>
      </xdr:nvSpPr>
      <xdr:spPr>
        <a:xfrm rot="10800000">
          <a:off x="36957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598</xdr:row>
      <xdr:rowOff>0</xdr:rowOff>
    </xdr:from>
    <xdr:to>
      <xdr:col>45</xdr:col>
      <xdr:colOff>83820</xdr:colOff>
      <xdr:row>598</xdr:row>
      <xdr:rowOff>114300</xdr:rowOff>
    </xdr:to>
    <xdr:sp macro="" textlink="">
      <xdr:nvSpPr>
        <xdr:cNvPr id="4644" name="Arrow: Down 4643">
          <a:extLst>
            <a:ext uri="{FF2B5EF4-FFF2-40B4-BE49-F238E27FC236}">
              <a16:creationId xmlns:a16="http://schemas.microsoft.com/office/drawing/2014/main" id="{5B85D245-C801-4499-B3DD-47A66EB3969C}"/>
            </a:ext>
          </a:extLst>
        </xdr:cNvPr>
        <xdr:cNvSpPr/>
      </xdr:nvSpPr>
      <xdr:spPr>
        <a:xfrm rot="10800000">
          <a:off x="13403580" y="10927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598</xdr:row>
      <xdr:rowOff>0</xdr:rowOff>
    </xdr:from>
    <xdr:to>
      <xdr:col>39</xdr:col>
      <xdr:colOff>83820</xdr:colOff>
      <xdr:row>598</xdr:row>
      <xdr:rowOff>114300</xdr:rowOff>
    </xdr:to>
    <xdr:sp macro="" textlink="">
      <xdr:nvSpPr>
        <xdr:cNvPr id="4646" name="Arrow: Down 4645">
          <a:extLst>
            <a:ext uri="{FF2B5EF4-FFF2-40B4-BE49-F238E27FC236}">
              <a16:creationId xmlns:a16="http://schemas.microsoft.com/office/drawing/2014/main" id="{B6176107-A81A-47E4-AC40-032DEBF72FE5}"/>
            </a:ext>
          </a:extLst>
        </xdr:cNvPr>
        <xdr:cNvSpPr/>
      </xdr:nvSpPr>
      <xdr:spPr>
        <a:xfrm>
          <a:off x="115443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598</xdr:row>
      <xdr:rowOff>0</xdr:rowOff>
    </xdr:from>
    <xdr:to>
      <xdr:col>71</xdr:col>
      <xdr:colOff>83820</xdr:colOff>
      <xdr:row>598</xdr:row>
      <xdr:rowOff>114300</xdr:rowOff>
    </xdr:to>
    <xdr:sp macro="" textlink="">
      <xdr:nvSpPr>
        <xdr:cNvPr id="4651" name="Arrow: Down 4650">
          <a:extLst>
            <a:ext uri="{FF2B5EF4-FFF2-40B4-BE49-F238E27FC236}">
              <a16:creationId xmlns:a16="http://schemas.microsoft.com/office/drawing/2014/main" id="{AB5C51E7-AE54-49B2-A598-C04937B70A7F}"/>
            </a:ext>
          </a:extLst>
        </xdr:cNvPr>
        <xdr:cNvSpPr/>
      </xdr:nvSpPr>
      <xdr:spPr>
        <a:xfrm rot="10800000">
          <a:off x="2180082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598</xdr:row>
      <xdr:rowOff>0</xdr:rowOff>
    </xdr:from>
    <xdr:to>
      <xdr:col>60</xdr:col>
      <xdr:colOff>83820</xdr:colOff>
      <xdr:row>598</xdr:row>
      <xdr:rowOff>114300</xdr:rowOff>
    </xdr:to>
    <xdr:sp macro="" textlink="">
      <xdr:nvSpPr>
        <xdr:cNvPr id="4652" name="Arrow: Down 4651">
          <a:extLst>
            <a:ext uri="{FF2B5EF4-FFF2-40B4-BE49-F238E27FC236}">
              <a16:creationId xmlns:a16="http://schemas.microsoft.com/office/drawing/2014/main" id="{08DC5902-6E4B-478E-892E-598343C9D632}"/>
            </a:ext>
          </a:extLst>
        </xdr:cNvPr>
        <xdr:cNvSpPr/>
      </xdr:nvSpPr>
      <xdr:spPr>
        <a:xfrm rot="10800000">
          <a:off x="1908048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598</xdr:row>
      <xdr:rowOff>0</xdr:rowOff>
    </xdr:from>
    <xdr:to>
      <xdr:col>24</xdr:col>
      <xdr:colOff>83820</xdr:colOff>
      <xdr:row>598</xdr:row>
      <xdr:rowOff>114300</xdr:rowOff>
    </xdr:to>
    <xdr:sp macro="" textlink="">
      <xdr:nvSpPr>
        <xdr:cNvPr id="4654" name="Arrow: Down 4653">
          <a:extLst>
            <a:ext uri="{FF2B5EF4-FFF2-40B4-BE49-F238E27FC236}">
              <a16:creationId xmlns:a16="http://schemas.microsoft.com/office/drawing/2014/main" id="{B2BFEE43-FF87-4E8E-A462-43BF6DEC5858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598</xdr:row>
      <xdr:rowOff>0</xdr:rowOff>
    </xdr:from>
    <xdr:to>
      <xdr:col>11</xdr:col>
      <xdr:colOff>83820</xdr:colOff>
      <xdr:row>598</xdr:row>
      <xdr:rowOff>114300</xdr:rowOff>
    </xdr:to>
    <xdr:sp macro="" textlink="">
      <xdr:nvSpPr>
        <xdr:cNvPr id="4656" name="Arrow: Down 4655">
          <a:extLst>
            <a:ext uri="{FF2B5EF4-FFF2-40B4-BE49-F238E27FC236}">
              <a16:creationId xmlns:a16="http://schemas.microsoft.com/office/drawing/2014/main" id="{BDE6A4EF-ED8A-4E22-B890-C155ABDFA963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598</xdr:row>
      <xdr:rowOff>0</xdr:rowOff>
    </xdr:from>
    <xdr:to>
      <xdr:col>5</xdr:col>
      <xdr:colOff>83820</xdr:colOff>
      <xdr:row>598</xdr:row>
      <xdr:rowOff>114300</xdr:rowOff>
    </xdr:to>
    <xdr:sp macro="" textlink="">
      <xdr:nvSpPr>
        <xdr:cNvPr id="4657" name="Arrow: Down 4656">
          <a:extLst>
            <a:ext uri="{FF2B5EF4-FFF2-40B4-BE49-F238E27FC236}">
              <a16:creationId xmlns:a16="http://schemas.microsoft.com/office/drawing/2014/main" id="{D476131E-9582-45E2-B90E-D8FD7F083867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599</xdr:row>
      <xdr:rowOff>0</xdr:rowOff>
    </xdr:from>
    <xdr:to>
      <xdr:col>45</xdr:col>
      <xdr:colOff>83820</xdr:colOff>
      <xdr:row>599</xdr:row>
      <xdr:rowOff>114300</xdr:rowOff>
    </xdr:to>
    <xdr:sp macro="" textlink="">
      <xdr:nvSpPr>
        <xdr:cNvPr id="4665" name="Arrow: Down 4664">
          <a:extLst>
            <a:ext uri="{FF2B5EF4-FFF2-40B4-BE49-F238E27FC236}">
              <a16:creationId xmlns:a16="http://schemas.microsoft.com/office/drawing/2014/main" id="{C105BB9B-7717-4DB7-B5EA-0ABBA38AEE9A}"/>
            </a:ext>
          </a:extLst>
        </xdr:cNvPr>
        <xdr:cNvSpPr/>
      </xdr:nvSpPr>
      <xdr:spPr>
        <a:xfrm rot="10800000">
          <a:off x="134035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599</xdr:row>
      <xdr:rowOff>0</xdr:rowOff>
    </xdr:from>
    <xdr:to>
      <xdr:col>39</xdr:col>
      <xdr:colOff>83820</xdr:colOff>
      <xdr:row>599</xdr:row>
      <xdr:rowOff>114300</xdr:rowOff>
    </xdr:to>
    <xdr:sp macro="" textlink="">
      <xdr:nvSpPr>
        <xdr:cNvPr id="4666" name="Arrow: Down 4665">
          <a:extLst>
            <a:ext uri="{FF2B5EF4-FFF2-40B4-BE49-F238E27FC236}">
              <a16:creationId xmlns:a16="http://schemas.microsoft.com/office/drawing/2014/main" id="{082BA850-655B-4985-B0E6-3816C6807C7E}"/>
            </a:ext>
          </a:extLst>
        </xdr:cNvPr>
        <xdr:cNvSpPr/>
      </xdr:nvSpPr>
      <xdr:spPr>
        <a:xfrm>
          <a:off x="1154430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599</xdr:row>
      <xdr:rowOff>0</xdr:rowOff>
    </xdr:from>
    <xdr:to>
      <xdr:col>24</xdr:col>
      <xdr:colOff>83820</xdr:colOff>
      <xdr:row>599</xdr:row>
      <xdr:rowOff>114300</xdr:rowOff>
    </xdr:to>
    <xdr:sp macro="" textlink="">
      <xdr:nvSpPr>
        <xdr:cNvPr id="4669" name="Arrow: Down 4668">
          <a:extLst>
            <a:ext uri="{FF2B5EF4-FFF2-40B4-BE49-F238E27FC236}">
              <a16:creationId xmlns:a16="http://schemas.microsoft.com/office/drawing/2014/main" id="{5A14991F-3FE0-489F-8611-93CB5D03384F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599</xdr:row>
      <xdr:rowOff>0</xdr:rowOff>
    </xdr:from>
    <xdr:to>
      <xdr:col>11</xdr:col>
      <xdr:colOff>83820</xdr:colOff>
      <xdr:row>599</xdr:row>
      <xdr:rowOff>114300</xdr:rowOff>
    </xdr:to>
    <xdr:sp macro="" textlink="">
      <xdr:nvSpPr>
        <xdr:cNvPr id="4670" name="Arrow: Down 4669">
          <a:extLst>
            <a:ext uri="{FF2B5EF4-FFF2-40B4-BE49-F238E27FC236}">
              <a16:creationId xmlns:a16="http://schemas.microsoft.com/office/drawing/2014/main" id="{EF24B6F1-BEF3-4128-94CF-CFBF8C73B030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599</xdr:row>
      <xdr:rowOff>0</xdr:rowOff>
    </xdr:from>
    <xdr:to>
      <xdr:col>5</xdr:col>
      <xdr:colOff>83820</xdr:colOff>
      <xdr:row>599</xdr:row>
      <xdr:rowOff>114300</xdr:rowOff>
    </xdr:to>
    <xdr:sp macro="" textlink="">
      <xdr:nvSpPr>
        <xdr:cNvPr id="4671" name="Arrow: Down 4670">
          <a:extLst>
            <a:ext uri="{FF2B5EF4-FFF2-40B4-BE49-F238E27FC236}">
              <a16:creationId xmlns:a16="http://schemas.microsoft.com/office/drawing/2014/main" id="{DEA393C7-6D52-4F9E-BB1E-0D3DA1E9E97E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599</xdr:row>
      <xdr:rowOff>0</xdr:rowOff>
    </xdr:from>
    <xdr:to>
      <xdr:col>71</xdr:col>
      <xdr:colOff>83820</xdr:colOff>
      <xdr:row>599</xdr:row>
      <xdr:rowOff>114300</xdr:rowOff>
    </xdr:to>
    <xdr:sp macro="" textlink="">
      <xdr:nvSpPr>
        <xdr:cNvPr id="4673" name="Arrow: Down 4672">
          <a:extLst>
            <a:ext uri="{FF2B5EF4-FFF2-40B4-BE49-F238E27FC236}">
              <a16:creationId xmlns:a16="http://schemas.microsoft.com/office/drawing/2014/main" id="{7E281321-A1F4-4E1E-9E20-8300737DA77F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599</xdr:row>
      <xdr:rowOff>0</xdr:rowOff>
    </xdr:from>
    <xdr:to>
      <xdr:col>60</xdr:col>
      <xdr:colOff>83820</xdr:colOff>
      <xdr:row>599</xdr:row>
      <xdr:rowOff>114300</xdr:rowOff>
    </xdr:to>
    <xdr:sp macro="" textlink="">
      <xdr:nvSpPr>
        <xdr:cNvPr id="4675" name="Arrow: Down 4674">
          <a:extLst>
            <a:ext uri="{FF2B5EF4-FFF2-40B4-BE49-F238E27FC236}">
              <a16:creationId xmlns:a16="http://schemas.microsoft.com/office/drawing/2014/main" id="{3915F8B3-962A-452E-B5F6-BF4FB29CFF90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600</xdr:row>
      <xdr:rowOff>0</xdr:rowOff>
    </xdr:from>
    <xdr:to>
      <xdr:col>45</xdr:col>
      <xdr:colOff>83820</xdr:colOff>
      <xdr:row>600</xdr:row>
      <xdr:rowOff>114300</xdr:rowOff>
    </xdr:to>
    <xdr:sp macro="" textlink="">
      <xdr:nvSpPr>
        <xdr:cNvPr id="4288" name="Arrow: Down 4287">
          <a:extLst>
            <a:ext uri="{FF2B5EF4-FFF2-40B4-BE49-F238E27FC236}">
              <a16:creationId xmlns:a16="http://schemas.microsoft.com/office/drawing/2014/main" id="{04EA5890-BFEA-4650-B9AB-0217EE1F6F5E}"/>
            </a:ext>
          </a:extLst>
        </xdr:cNvPr>
        <xdr:cNvSpPr/>
      </xdr:nvSpPr>
      <xdr:spPr>
        <a:xfrm rot="10800000">
          <a:off x="134035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600</xdr:row>
      <xdr:rowOff>0</xdr:rowOff>
    </xdr:from>
    <xdr:to>
      <xdr:col>39</xdr:col>
      <xdr:colOff>83820</xdr:colOff>
      <xdr:row>600</xdr:row>
      <xdr:rowOff>114300</xdr:rowOff>
    </xdr:to>
    <xdr:sp macro="" textlink="">
      <xdr:nvSpPr>
        <xdr:cNvPr id="4297" name="Arrow: Down 4296">
          <a:extLst>
            <a:ext uri="{FF2B5EF4-FFF2-40B4-BE49-F238E27FC236}">
              <a16:creationId xmlns:a16="http://schemas.microsoft.com/office/drawing/2014/main" id="{555F2E44-E909-4A8D-96B5-2DAB48445B76}"/>
            </a:ext>
          </a:extLst>
        </xdr:cNvPr>
        <xdr:cNvSpPr/>
      </xdr:nvSpPr>
      <xdr:spPr>
        <a:xfrm>
          <a:off x="11544300" y="10964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600</xdr:row>
      <xdr:rowOff>0</xdr:rowOff>
    </xdr:from>
    <xdr:to>
      <xdr:col>24</xdr:col>
      <xdr:colOff>83820</xdr:colOff>
      <xdr:row>600</xdr:row>
      <xdr:rowOff>114300</xdr:rowOff>
    </xdr:to>
    <xdr:sp macro="" textlink="">
      <xdr:nvSpPr>
        <xdr:cNvPr id="4298" name="Arrow: Down 4297">
          <a:extLst>
            <a:ext uri="{FF2B5EF4-FFF2-40B4-BE49-F238E27FC236}">
              <a16:creationId xmlns:a16="http://schemas.microsoft.com/office/drawing/2014/main" id="{D716E77C-DA9C-4504-8DBC-D16C4E0E7ACD}"/>
            </a:ext>
          </a:extLst>
        </xdr:cNvPr>
        <xdr:cNvSpPr/>
      </xdr:nvSpPr>
      <xdr:spPr>
        <a:xfrm>
          <a:off x="83362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600</xdr:row>
      <xdr:rowOff>0</xdr:rowOff>
    </xdr:from>
    <xdr:to>
      <xdr:col>11</xdr:col>
      <xdr:colOff>83820</xdr:colOff>
      <xdr:row>600</xdr:row>
      <xdr:rowOff>114300</xdr:rowOff>
    </xdr:to>
    <xdr:sp macro="" textlink="">
      <xdr:nvSpPr>
        <xdr:cNvPr id="4305" name="Arrow: Down 4304">
          <a:extLst>
            <a:ext uri="{FF2B5EF4-FFF2-40B4-BE49-F238E27FC236}">
              <a16:creationId xmlns:a16="http://schemas.microsoft.com/office/drawing/2014/main" id="{7AADDCB7-5D7B-4CAE-AD03-46718CCA62C6}"/>
            </a:ext>
          </a:extLst>
        </xdr:cNvPr>
        <xdr:cNvSpPr/>
      </xdr:nvSpPr>
      <xdr:spPr>
        <a:xfrm>
          <a:off x="369570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600</xdr:row>
      <xdr:rowOff>0</xdr:rowOff>
    </xdr:from>
    <xdr:to>
      <xdr:col>5</xdr:col>
      <xdr:colOff>83820</xdr:colOff>
      <xdr:row>600</xdr:row>
      <xdr:rowOff>114300</xdr:rowOff>
    </xdr:to>
    <xdr:sp macro="" textlink="">
      <xdr:nvSpPr>
        <xdr:cNvPr id="4352" name="Arrow: Down 4351">
          <a:extLst>
            <a:ext uri="{FF2B5EF4-FFF2-40B4-BE49-F238E27FC236}">
              <a16:creationId xmlns:a16="http://schemas.microsoft.com/office/drawing/2014/main" id="{88F749E5-F01C-475F-9947-3FE5695CADF5}"/>
            </a:ext>
          </a:extLst>
        </xdr:cNvPr>
        <xdr:cNvSpPr/>
      </xdr:nvSpPr>
      <xdr:spPr>
        <a:xfrm>
          <a:off x="192786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600</xdr:row>
      <xdr:rowOff>0</xdr:rowOff>
    </xdr:from>
    <xdr:to>
      <xdr:col>71</xdr:col>
      <xdr:colOff>83820</xdr:colOff>
      <xdr:row>600</xdr:row>
      <xdr:rowOff>114300</xdr:rowOff>
    </xdr:to>
    <xdr:sp macro="" textlink="">
      <xdr:nvSpPr>
        <xdr:cNvPr id="4353" name="Arrow: Down 4352">
          <a:extLst>
            <a:ext uri="{FF2B5EF4-FFF2-40B4-BE49-F238E27FC236}">
              <a16:creationId xmlns:a16="http://schemas.microsoft.com/office/drawing/2014/main" id="{F7D0F2C6-7465-44C5-8436-CBA83489A176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600</xdr:row>
      <xdr:rowOff>0</xdr:rowOff>
    </xdr:from>
    <xdr:to>
      <xdr:col>60</xdr:col>
      <xdr:colOff>83820</xdr:colOff>
      <xdr:row>600</xdr:row>
      <xdr:rowOff>114300</xdr:rowOff>
    </xdr:to>
    <xdr:sp macro="" textlink="">
      <xdr:nvSpPr>
        <xdr:cNvPr id="4354" name="Arrow: Down 4353">
          <a:extLst>
            <a:ext uri="{FF2B5EF4-FFF2-40B4-BE49-F238E27FC236}">
              <a16:creationId xmlns:a16="http://schemas.microsoft.com/office/drawing/2014/main" id="{2451886A-6B91-4F23-9EC0-5D1329D5DF81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601</xdr:row>
      <xdr:rowOff>0</xdr:rowOff>
    </xdr:from>
    <xdr:to>
      <xdr:col>45</xdr:col>
      <xdr:colOff>83820</xdr:colOff>
      <xdr:row>601</xdr:row>
      <xdr:rowOff>114300</xdr:rowOff>
    </xdr:to>
    <xdr:sp macro="" textlink="">
      <xdr:nvSpPr>
        <xdr:cNvPr id="4367" name="Arrow: Down 4366">
          <a:extLst>
            <a:ext uri="{FF2B5EF4-FFF2-40B4-BE49-F238E27FC236}">
              <a16:creationId xmlns:a16="http://schemas.microsoft.com/office/drawing/2014/main" id="{69A3D062-9251-4DCA-A3A5-DB31E7B4DEDE}"/>
            </a:ext>
          </a:extLst>
        </xdr:cNvPr>
        <xdr:cNvSpPr/>
      </xdr:nvSpPr>
      <xdr:spPr>
        <a:xfrm rot="10800000">
          <a:off x="1340358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601</xdr:row>
      <xdr:rowOff>0</xdr:rowOff>
    </xdr:from>
    <xdr:to>
      <xdr:col>71</xdr:col>
      <xdr:colOff>83820</xdr:colOff>
      <xdr:row>601</xdr:row>
      <xdr:rowOff>114300</xdr:rowOff>
    </xdr:to>
    <xdr:sp macro="" textlink="">
      <xdr:nvSpPr>
        <xdr:cNvPr id="4376" name="Arrow: Down 4375">
          <a:extLst>
            <a:ext uri="{FF2B5EF4-FFF2-40B4-BE49-F238E27FC236}">
              <a16:creationId xmlns:a16="http://schemas.microsoft.com/office/drawing/2014/main" id="{40C3C0FB-04AC-4499-A497-628431B47D7B}"/>
            </a:ext>
          </a:extLst>
        </xdr:cNvPr>
        <xdr:cNvSpPr/>
      </xdr:nvSpPr>
      <xdr:spPr>
        <a:xfrm>
          <a:off x="2180082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22860</xdr:colOff>
      <xdr:row>601</xdr:row>
      <xdr:rowOff>0</xdr:rowOff>
    </xdr:from>
    <xdr:to>
      <xdr:col>60</xdr:col>
      <xdr:colOff>106680</xdr:colOff>
      <xdr:row>601</xdr:row>
      <xdr:rowOff>114300</xdr:rowOff>
    </xdr:to>
    <xdr:sp macro="" textlink="">
      <xdr:nvSpPr>
        <xdr:cNvPr id="4380" name="Arrow: Down 4379">
          <a:extLst>
            <a:ext uri="{FF2B5EF4-FFF2-40B4-BE49-F238E27FC236}">
              <a16:creationId xmlns:a16="http://schemas.microsoft.com/office/drawing/2014/main" id="{A2742908-CE38-4177-AA5A-EAC379560CC5}"/>
            </a:ext>
          </a:extLst>
        </xdr:cNvPr>
        <xdr:cNvSpPr/>
      </xdr:nvSpPr>
      <xdr:spPr>
        <a:xfrm>
          <a:off x="1910334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602</xdr:row>
      <xdr:rowOff>0</xdr:rowOff>
    </xdr:from>
    <xdr:to>
      <xdr:col>45</xdr:col>
      <xdr:colOff>83820</xdr:colOff>
      <xdr:row>602</xdr:row>
      <xdr:rowOff>114300</xdr:rowOff>
    </xdr:to>
    <xdr:sp macro="" textlink="">
      <xdr:nvSpPr>
        <xdr:cNvPr id="4396" name="Arrow: Down 4395">
          <a:extLst>
            <a:ext uri="{FF2B5EF4-FFF2-40B4-BE49-F238E27FC236}">
              <a16:creationId xmlns:a16="http://schemas.microsoft.com/office/drawing/2014/main" id="{636487DA-DF9A-4BD9-B3EF-592953C0D36B}"/>
            </a:ext>
          </a:extLst>
        </xdr:cNvPr>
        <xdr:cNvSpPr/>
      </xdr:nvSpPr>
      <xdr:spPr>
        <a:xfrm rot="10800000">
          <a:off x="1340358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602</xdr:row>
      <xdr:rowOff>0</xdr:rowOff>
    </xdr:from>
    <xdr:to>
      <xdr:col>39</xdr:col>
      <xdr:colOff>83820</xdr:colOff>
      <xdr:row>602</xdr:row>
      <xdr:rowOff>114300</xdr:rowOff>
    </xdr:to>
    <xdr:sp macro="" textlink="">
      <xdr:nvSpPr>
        <xdr:cNvPr id="4397" name="Arrow: Down 4396">
          <a:extLst>
            <a:ext uri="{FF2B5EF4-FFF2-40B4-BE49-F238E27FC236}">
              <a16:creationId xmlns:a16="http://schemas.microsoft.com/office/drawing/2014/main" id="{5312783F-7BD5-43AD-9365-3330089CE856}"/>
            </a:ext>
          </a:extLst>
        </xdr:cNvPr>
        <xdr:cNvSpPr/>
      </xdr:nvSpPr>
      <xdr:spPr>
        <a:xfrm>
          <a:off x="115443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602</xdr:row>
      <xdr:rowOff>0</xdr:rowOff>
    </xdr:from>
    <xdr:to>
      <xdr:col>11</xdr:col>
      <xdr:colOff>83820</xdr:colOff>
      <xdr:row>602</xdr:row>
      <xdr:rowOff>114300</xdr:rowOff>
    </xdr:to>
    <xdr:sp macro="" textlink="">
      <xdr:nvSpPr>
        <xdr:cNvPr id="4401" name="Arrow: Down 4400">
          <a:extLst>
            <a:ext uri="{FF2B5EF4-FFF2-40B4-BE49-F238E27FC236}">
              <a16:creationId xmlns:a16="http://schemas.microsoft.com/office/drawing/2014/main" id="{5E779A78-3E07-4DF4-B7A2-711F0CD534AB}"/>
            </a:ext>
          </a:extLst>
        </xdr:cNvPr>
        <xdr:cNvSpPr/>
      </xdr:nvSpPr>
      <xdr:spPr>
        <a:xfrm>
          <a:off x="36957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602</xdr:row>
      <xdr:rowOff>0</xdr:rowOff>
    </xdr:from>
    <xdr:to>
      <xdr:col>71</xdr:col>
      <xdr:colOff>83820</xdr:colOff>
      <xdr:row>602</xdr:row>
      <xdr:rowOff>114300</xdr:rowOff>
    </xdr:to>
    <xdr:sp macro="" textlink="">
      <xdr:nvSpPr>
        <xdr:cNvPr id="4406" name="Arrow: Down 4405">
          <a:extLst>
            <a:ext uri="{FF2B5EF4-FFF2-40B4-BE49-F238E27FC236}">
              <a16:creationId xmlns:a16="http://schemas.microsoft.com/office/drawing/2014/main" id="{A2FC6924-821F-484C-B1BF-95B0AFAE850F}"/>
            </a:ext>
          </a:extLst>
        </xdr:cNvPr>
        <xdr:cNvSpPr/>
      </xdr:nvSpPr>
      <xdr:spPr>
        <a:xfrm>
          <a:off x="2180082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602</xdr:row>
      <xdr:rowOff>0</xdr:rowOff>
    </xdr:from>
    <xdr:to>
      <xdr:col>60</xdr:col>
      <xdr:colOff>83820</xdr:colOff>
      <xdr:row>602</xdr:row>
      <xdr:rowOff>114300</xdr:rowOff>
    </xdr:to>
    <xdr:sp macro="" textlink="">
      <xdr:nvSpPr>
        <xdr:cNvPr id="4417" name="Arrow: Down 4416">
          <a:extLst>
            <a:ext uri="{FF2B5EF4-FFF2-40B4-BE49-F238E27FC236}">
              <a16:creationId xmlns:a16="http://schemas.microsoft.com/office/drawing/2014/main" id="{E74FC8C8-4220-4A63-A802-A323649215D6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601</xdr:row>
      <xdr:rowOff>0</xdr:rowOff>
    </xdr:from>
    <xdr:to>
      <xdr:col>11</xdr:col>
      <xdr:colOff>83820</xdr:colOff>
      <xdr:row>601</xdr:row>
      <xdr:rowOff>114300</xdr:rowOff>
    </xdr:to>
    <xdr:sp macro="" textlink="">
      <xdr:nvSpPr>
        <xdr:cNvPr id="4419" name="Arrow: Down 4418">
          <a:extLst>
            <a:ext uri="{FF2B5EF4-FFF2-40B4-BE49-F238E27FC236}">
              <a16:creationId xmlns:a16="http://schemas.microsoft.com/office/drawing/2014/main" id="{3866FA41-3351-4799-A992-75BB5BC32053}"/>
            </a:ext>
          </a:extLst>
        </xdr:cNvPr>
        <xdr:cNvSpPr/>
      </xdr:nvSpPr>
      <xdr:spPr>
        <a:xfrm rot="10800000">
          <a:off x="36957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601</xdr:row>
      <xdr:rowOff>0</xdr:rowOff>
    </xdr:from>
    <xdr:to>
      <xdr:col>5</xdr:col>
      <xdr:colOff>83820</xdr:colOff>
      <xdr:row>601</xdr:row>
      <xdr:rowOff>114300</xdr:rowOff>
    </xdr:to>
    <xdr:sp macro="" textlink="">
      <xdr:nvSpPr>
        <xdr:cNvPr id="4420" name="Arrow: Down 4419">
          <a:extLst>
            <a:ext uri="{FF2B5EF4-FFF2-40B4-BE49-F238E27FC236}">
              <a16:creationId xmlns:a16="http://schemas.microsoft.com/office/drawing/2014/main" id="{246A7403-EAB6-4698-8990-99B39A95E98C}"/>
            </a:ext>
          </a:extLst>
        </xdr:cNvPr>
        <xdr:cNvSpPr/>
      </xdr:nvSpPr>
      <xdr:spPr>
        <a:xfrm rot="10800000">
          <a:off x="192786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602</xdr:row>
      <xdr:rowOff>0</xdr:rowOff>
    </xdr:from>
    <xdr:to>
      <xdr:col>5</xdr:col>
      <xdr:colOff>83820</xdr:colOff>
      <xdr:row>602</xdr:row>
      <xdr:rowOff>114300</xdr:rowOff>
    </xdr:to>
    <xdr:sp macro="" textlink="">
      <xdr:nvSpPr>
        <xdr:cNvPr id="4422" name="Arrow: Down 4421">
          <a:extLst>
            <a:ext uri="{FF2B5EF4-FFF2-40B4-BE49-F238E27FC236}">
              <a16:creationId xmlns:a16="http://schemas.microsoft.com/office/drawing/2014/main" id="{F4974630-439F-4093-A4E6-F92C2B064FA9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601</xdr:row>
      <xdr:rowOff>0</xdr:rowOff>
    </xdr:from>
    <xdr:to>
      <xdr:col>24</xdr:col>
      <xdr:colOff>83820</xdr:colOff>
      <xdr:row>601</xdr:row>
      <xdr:rowOff>114300</xdr:rowOff>
    </xdr:to>
    <xdr:sp macro="" textlink="">
      <xdr:nvSpPr>
        <xdr:cNvPr id="4426" name="Arrow: Down 4425">
          <a:extLst>
            <a:ext uri="{FF2B5EF4-FFF2-40B4-BE49-F238E27FC236}">
              <a16:creationId xmlns:a16="http://schemas.microsoft.com/office/drawing/2014/main" id="{29B7E710-2176-45D0-94A2-4587F0C48BC6}"/>
            </a:ext>
          </a:extLst>
        </xdr:cNvPr>
        <xdr:cNvSpPr/>
      </xdr:nvSpPr>
      <xdr:spPr>
        <a:xfrm rot="10800000">
          <a:off x="833628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602</xdr:row>
      <xdr:rowOff>0</xdr:rowOff>
    </xdr:from>
    <xdr:to>
      <xdr:col>24</xdr:col>
      <xdr:colOff>83820</xdr:colOff>
      <xdr:row>602</xdr:row>
      <xdr:rowOff>114300</xdr:rowOff>
    </xdr:to>
    <xdr:sp macro="" textlink="">
      <xdr:nvSpPr>
        <xdr:cNvPr id="4430" name="Arrow: Down 4429">
          <a:extLst>
            <a:ext uri="{FF2B5EF4-FFF2-40B4-BE49-F238E27FC236}">
              <a16:creationId xmlns:a16="http://schemas.microsoft.com/office/drawing/2014/main" id="{B201F5CF-B2E0-4804-8998-074B20317FF2}"/>
            </a:ext>
          </a:extLst>
        </xdr:cNvPr>
        <xdr:cNvSpPr/>
      </xdr:nvSpPr>
      <xdr:spPr>
        <a:xfrm rot="10800000">
          <a:off x="83362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603</xdr:row>
      <xdr:rowOff>0</xdr:rowOff>
    </xdr:from>
    <xdr:to>
      <xdr:col>45</xdr:col>
      <xdr:colOff>83820</xdr:colOff>
      <xdr:row>603</xdr:row>
      <xdr:rowOff>114300</xdr:rowOff>
    </xdr:to>
    <xdr:sp macro="" textlink="">
      <xdr:nvSpPr>
        <xdr:cNvPr id="4431" name="Arrow: Down 4430">
          <a:extLst>
            <a:ext uri="{FF2B5EF4-FFF2-40B4-BE49-F238E27FC236}">
              <a16:creationId xmlns:a16="http://schemas.microsoft.com/office/drawing/2014/main" id="{2B25CADB-7A4F-4774-A7C8-08D95CEB265D}"/>
            </a:ext>
          </a:extLst>
        </xdr:cNvPr>
        <xdr:cNvSpPr/>
      </xdr:nvSpPr>
      <xdr:spPr>
        <a:xfrm rot="10800000">
          <a:off x="1340358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603</xdr:row>
      <xdr:rowOff>0</xdr:rowOff>
    </xdr:from>
    <xdr:to>
      <xdr:col>39</xdr:col>
      <xdr:colOff>83820</xdr:colOff>
      <xdr:row>603</xdr:row>
      <xdr:rowOff>114300</xdr:rowOff>
    </xdr:to>
    <xdr:sp macro="" textlink="">
      <xdr:nvSpPr>
        <xdr:cNvPr id="4432" name="Arrow: Down 4431">
          <a:extLst>
            <a:ext uri="{FF2B5EF4-FFF2-40B4-BE49-F238E27FC236}">
              <a16:creationId xmlns:a16="http://schemas.microsoft.com/office/drawing/2014/main" id="{A6494896-3207-4C71-8275-318B54B78CAB}"/>
            </a:ext>
          </a:extLst>
        </xdr:cNvPr>
        <xdr:cNvSpPr/>
      </xdr:nvSpPr>
      <xdr:spPr>
        <a:xfrm>
          <a:off x="1154430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603</xdr:row>
      <xdr:rowOff>0</xdr:rowOff>
    </xdr:from>
    <xdr:to>
      <xdr:col>71</xdr:col>
      <xdr:colOff>83820</xdr:colOff>
      <xdr:row>603</xdr:row>
      <xdr:rowOff>114300</xdr:rowOff>
    </xdr:to>
    <xdr:sp macro="" textlink="">
      <xdr:nvSpPr>
        <xdr:cNvPr id="4434" name="Arrow: Down 4433">
          <a:extLst>
            <a:ext uri="{FF2B5EF4-FFF2-40B4-BE49-F238E27FC236}">
              <a16:creationId xmlns:a16="http://schemas.microsoft.com/office/drawing/2014/main" id="{D7AEDA4A-65B0-48B9-A2B1-49A55393B0C8}"/>
            </a:ext>
          </a:extLst>
        </xdr:cNvPr>
        <xdr:cNvSpPr/>
      </xdr:nvSpPr>
      <xdr:spPr>
        <a:xfrm>
          <a:off x="2180082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603</xdr:row>
      <xdr:rowOff>0</xdr:rowOff>
    </xdr:from>
    <xdr:to>
      <xdr:col>60</xdr:col>
      <xdr:colOff>83820</xdr:colOff>
      <xdr:row>603</xdr:row>
      <xdr:rowOff>114300</xdr:rowOff>
    </xdr:to>
    <xdr:sp macro="" textlink="">
      <xdr:nvSpPr>
        <xdr:cNvPr id="4435" name="Arrow: Down 4434">
          <a:extLst>
            <a:ext uri="{FF2B5EF4-FFF2-40B4-BE49-F238E27FC236}">
              <a16:creationId xmlns:a16="http://schemas.microsoft.com/office/drawing/2014/main" id="{E5A390D2-B3DD-4F63-8BB5-0F940CDB1077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603</xdr:row>
      <xdr:rowOff>0</xdr:rowOff>
    </xdr:from>
    <xdr:to>
      <xdr:col>5</xdr:col>
      <xdr:colOff>83820</xdr:colOff>
      <xdr:row>603</xdr:row>
      <xdr:rowOff>114300</xdr:rowOff>
    </xdr:to>
    <xdr:sp macro="" textlink="">
      <xdr:nvSpPr>
        <xdr:cNvPr id="4436" name="Arrow: Down 4435">
          <a:extLst>
            <a:ext uri="{FF2B5EF4-FFF2-40B4-BE49-F238E27FC236}">
              <a16:creationId xmlns:a16="http://schemas.microsoft.com/office/drawing/2014/main" id="{0E3C9C7D-1F66-4579-97F2-CF6E5D79318F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603</xdr:row>
      <xdr:rowOff>0</xdr:rowOff>
    </xdr:from>
    <xdr:to>
      <xdr:col>11</xdr:col>
      <xdr:colOff>83820</xdr:colOff>
      <xdr:row>603</xdr:row>
      <xdr:rowOff>114300</xdr:rowOff>
    </xdr:to>
    <xdr:sp macro="" textlink="">
      <xdr:nvSpPr>
        <xdr:cNvPr id="4446" name="Arrow: Down 4445">
          <a:extLst>
            <a:ext uri="{FF2B5EF4-FFF2-40B4-BE49-F238E27FC236}">
              <a16:creationId xmlns:a16="http://schemas.microsoft.com/office/drawing/2014/main" id="{A0F7A235-3B63-4547-AAC9-FF86EAF4E80F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603</xdr:row>
      <xdr:rowOff>0</xdr:rowOff>
    </xdr:from>
    <xdr:to>
      <xdr:col>24</xdr:col>
      <xdr:colOff>83820</xdr:colOff>
      <xdr:row>603</xdr:row>
      <xdr:rowOff>114300</xdr:rowOff>
    </xdr:to>
    <xdr:sp macro="" textlink="">
      <xdr:nvSpPr>
        <xdr:cNvPr id="4448" name="Arrow: Down 4447">
          <a:extLst>
            <a:ext uri="{FF2B5EF4-FFF2-40B4-BE49-F238E27FC236}">
              <a16:creationId xmlns:a16="http://schemas.microsoft.com/office/drawing/2014/main" id="{DAA17684-DA4B-456A-BA40-6F785EC64141}"/>
            </a:ext>
          </a:extLst>
        </xdr:cNvPr>
        <xdr:cNvSpPr/>
      </xdr:nvSpPr>
      <xdr:spPr>
        <a:xfrm>
          <a:off x="83362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601</xdr:row>
      <xdr:rowOff>0</xdr:rowOff>
    </xdr:from>
    <xdr:to>
      <xdr:col>39</xdr:col>
      <xdr:colOff>83820</xdr:colOff>
      <xdr:row>601</xdr:row>
      <xdr:rowOff>114300</xdr:rowOff>
    </xdr:to>
    <xdr:sp macro="" textlink="">
      <xdr:nvSpPr>
        <xdr:cNvPr id="4450" name="Arrow: Down 4449">
          <a:extLst>
            <a:ext uri="{FF2B5EF4-FFF2-40B4-BE49-F238E27FC236}">
              <a16:creationId xmlns:a16="http://schemas.microsoft.com/office/drawing/2014/main" id="{8FC8CE42-C134-461F-8EF3-0EF4A0E4420E}"/>
            </a:ext>
          </a:extLst>
        </xdr:cNvPr>
        <xdr:cNvSpPr/>
      </xdr:nvSpPr>
      <xdr:spPr>
        <a:xfrm rot="10800000">
          <a:off x="115443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604</xdr:row>
      <xdr:rowOff>0</xdr:rowOff>
    </xdr:from>
    <xdr:to>
      <xdr:col>45</xdr:col>
      <xdr:colOff>83820</xdr:colOff>
      <xdr:row>604</xdr:row>
      <xdr:rowOff>114300</xdr:rowOff>
    </xdr:to>
    <xdr:sp macro="" textlink="">
      <xdr:nvSpPr>
        <xdr:cNvPr id="4356" name="Arrow: Down 4355">
          <a:extLst>
            <a:ext uri="{FF2B5EF4-FFF2-40B4-BE49-F238E27FC236}">
              <a16:creationId xmlns:a16="http://schemas.microsoft.com/office/drawing/2014/main" id="{39748AD5-956D-47A2-B28E-228A2BBAEDC5}"/>
            </a:ext>
          </a:extLst>
        </xdr:cNvPr>
        <xdr:cNvSpPr/>
      </xdr:nvSpPr>
      <xdr:spPr>
        <a:xfrm rot="10800000">
          <a:off x="134035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604</xdr:row>
      <xdr:rowOff>0</xdr:rowOff>
    </xdr:from>
    <xdr:to>
      <xdr:col>39</xdr:col>
      <xdr:colOff>83820</xdr:colOff>
      <xdr:row>604</xdr:row>
      <xdr:rowOff>114300</xdr:rowOff>
    </xdr:to>
    <xdr:sp macro="" textlink="">
      <xdr:nvSpPr>
        <xdr:cNvPr id="4357" name="Arrow: Down 4356">
          <a:extLst>
            <a:ext uri="{FF2B5EF4-FFF2-40B4-BE49-F238E27FC236}">
              <a16:creationId xmlns:a16="http://schemas.microsoft.com/office/drawing/2014/main" id="{F7DFA575-F9E7-4F76-A825-642CEE4307A9}"/>
            </a:ext>
          </a:extLst>
        </xdr:cNvPr>
        <xdr:cNvSpPr/>
      </xdr:nvSpPr>
      <xdr:spPr>
        <a:xfrm>
          <a:off x="115443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604</xdr:row>
      <xdr:rowOff>0</xdr:rowOff>
    </xdr:from>
    <xdr:to>
      <xdr:col>71</xdr:col>
      <xdr:colOff>83820</xdr:colOff>
      <xdr:row>604</xdr:row>
      <xdr:rowOff>114300</xdr:rowOff>
    </xdr:to>
    <xdr:sp macro="" textlink="">
      <xdr:nvSpPr>
        <xdr:cNvPr id="4358" name="Arrow: Down 4357">
          <a:extLst>
            <a:ext uri="{FF2B5EF4-FFF2-40B4-BE49-F238E27FC236}">
              <a16:creationId xmlns:a16="http://schemas.microsoft.com/office/drawing/2014/main" id="{E522B43B-52DA-42F3-8CCD-FBBBD7B4D37F}"/>
            </a:ext>
          </a:extLst>
        </xdr:cNvPr>
        <xdr:cNvSpPr/>
      </xdr:nvSpPr>
      <xdr:spPr>
        <a:xfrm>
          <a:off x="2180082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604</xdr:row>
      <xdr:rowOff>0</xdr:rowOff>
    </xdr:from>
    <xdr:to>
      <xdr:col>5</xdr:col>
      <xdr:colOff>83820</xdr:colOff>
      <xdr:row>604</xdr:row>
      <xdr:rowOff>114300</xdr:rowOff>
    </xdr:to>
    <xdr:sp macro="" textlink="">
      <xdr:nvSpPr>
        <xdr:cNvPr id="4360" name="Arrow: Down 4359">
          <a:extLst>
            <a:ext uri="{FF2B5EF4-FFF2-40B4-BE49-F238E27FC236}">
              <a16:creationId xmlns:a16="http://schemas.microsoft.com/office/drawing/2014/main" id="{73991E8E-5DC3-4332-B40E-56BCCA50F166}"/>
            </a:ext>
          </a:extLst>
        </xdr:cNvPr>
        <xdr:cNvSpPr/>
      </xdr:nvSpPr>
      <xdr:spPr>
        <a:xfrm rot="10800000">
          <a:off x="192786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604</xdr:row>
      <xdr:rowOff>0</xdr:rowOff>
    </xdr:from>
    <xdr:to>
      <xdr:col>11</xdr:col>
      <xdr:colOff>83820</xdr:colOff>
      <xdr:row>604</xdr:row>
      <xdr:rowOff>114300</xdr:rowOff>
    </xdr:to>
    <xdr:sp macro="" textlink="">
      <xdr:nvSpPr>
        <xdr:cNvPr id="4361" name="Arrow: Down 4360">
          <a:extLst>
            <a:ext uri="{FF2B5EF4-FFF2-40B4-BE49-F238E27FC236}">
              <a16:creationId xmlns:a16="http://schemas.microsoft.com/office/drawing/2014/main" id="{94CDD17B-6AB1-47A5-AC64-C4D54521BCDA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605</xdr:row>
      <xdr:rowOff>0</xdr:rowOff>
    </xdr:from>
    <xdr:to>
      <xdr:col>45</xdr:col>
      <xdr:colOff>83820</xdr:colOff>
      <xdr:row>605</xdr:row>
      <xdr:rowOff>114300</xdr:rowOff>
    </xdr:to>
    <xdr:sp macro="" textlink="">
      <xdr:nvSpPr>
        <xdr:cNvPr id="4369" name="Arrow: Down 4368">
          <a:extLst>
            <a:ext uri="{FF2B5EF4-FFF2-40B4-BE49-F238E27FC236}">
              <a16:creationId xmlns:a16="http://schemas.microsoft.com/office/drawing/2014/main" id="{58F836E9-9155-4A9D-AE71-CE84EDDA5A0E}"/>
            </a:ext>
          </a:extLst>
        </xdr:cNvPr>
        <xdr:cNvSpPr/>
      </xdr:nvSpPr>
      <xdr:spPr>
        <a:xfrm rot="10800000">
          <a:off x="134035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605</xdr:row>
      <xdr:rowOff>0</xdr:rowOff>
    </xdr:from>
    <xdr:to>
      <xdr:col>39</xdr:col>
      <xdr:colOff>83820</xdr:colOff>
      <xdr:row>605</xdr:row>
      <xdr:rowOff>114300</xdr:rowOff>
    </xdr:to>
    <xdr:sp macro="" textlink="">
      <xdr:nvSpPr>
        <xdr:cNvPr id="4371" name="Arrow: Down 4370">
          <a:extLst>
            <a:ext uri="{FF2B5EF4-FFF2-40B4-BE49-F238E27FC236}">
              <a16:creationId xmlns:a16="http://schemas.microsoft.com/office/drawing/2014/main" id="{0541F27D-9AC7-474A-8095-9506C8A83D21}"/>
            </a:ext>
          </a:extLst>
        </xdr:cNvPr>
        <xdr:cNvSpPr/>
      </xdr:nvSpPr>
      <xdr:spPr>
        <a:xfrm>
          <a:off x="1154430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605</xdr:row>
      <xdr:rowOff>0</xdr:rowOff>
    </xdr:from>
    <xdr:to>
      <xdr:col>60</xdr:col>
      <xdr:colOff>83820</xdr:colOff>
      <xdr:row>605</xdr:row>
      <xdr:rowOff>114300</xdr:rowOff>
    </xdr:to>
    <xdr:sp macro="" textlink="">
      <xdr:nvSpPr>
        <xdr:cNvPr id="4375" name="Arrow: Down 4374">
          <a:extLst>
            <a:ext uri="{FF2B5EF4-FFF2-40B4-BE49-F238E27FC236}">
              <a16:creationId xmlns:a16="http://schemas.microsoft.com/office/drawing/2014/main" id="{637241FC-0A77-4434-A7B8-ED00936E7974}"/>
            </a:ext>
          </a:extLst>
        </xdr:cNvPr>
        <xdr:cNvSpPr/>
      </xdr:nvSpPr>
      <xdr:spPr>
        <a:xfrm rot="10800000">
          <a:off x="190804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605</xdr:row>
      <xdr:rowOff>0</xdr:rowOff>
    </xdr:from>
    <xdr:to>
      <xdr:col>24</xdr:col>
      <xdr:colOff>83820</xdr:colOff>
      <xdr:row>605</xdr:row>
      <xdr:rowOff>114300</xdr:rowOff>
    </xdr:to>
    <xdr:sp macro="" textlink="">
      <xdr:nvSpPr>
        <xdr:cNvPr id="4390" name="Arrow: Down 4389">
          <a:extLst>
            <a:ext uri="{FF2B5EF4-FFF2-40B4-BE49-F238E27FC236}">
              <a16:creationId xmlns:a16="http://schemas.microsoft.com/office/drawing/2014/main" id="{31CA5FF4-EB28-421C-BA45-61D62CDFA716}"/>
            </a:ext>
          </a:extLst>
        </xdr:cNvPr>
        <xdr:cNvSpPr/>
      </xdr:nvSpPr>
      <xdr:spPr>
        <a:xfrm>
          <a:off x="83362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604</xdr:row>
      <xdr:rowOff>0</xdr:rowOff>
    </xdr:from>
    <xdr:to>
      <xdr:col>24</xdr:col>
      <xdr:colOff>83820</xdr:colOff>
      <xdr:row>604</xdr:row>
      <xdr:rowOff>114300</xdr:rowOff>
    </xdr:to>
    <xdr:sp macro="" textlink="">
      <xdr:nvSpPr>
        <xdr:cNvPr id="4391" name="Arrow: Down 4390">
          <a:extLst>
            <a:ext uri="{FF2B5EF4-FFF2-40B4-BE49-F238E27FC236}">
              <a16:creationId xmlns:a16="http://schemas.microsoft.com/office/drawing/2014/main" id="{A6716221-49F6-4A48-9E6B-DADA813ACE4E}"/>
            </a:ext>
          </a:extLst>
        </xdr:cNvPr>
        <xdr:cNvSpPr/>
      </xdr:nvSpPr>
      <xdr:spPr>
        <a:xfrm rot="10800000">
          <a:off x="83362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604</xdr:row>
      <xdr:rowOff>0</xdr:rowOff>
    </xdr:from>
    <xdr:to>
      <xdr:col>60</xdr:col>
      <xdr:colOff>83820</xdr:colOff>
      <xdr:row>604</xdr:row>
      <xdr:rowOff>114300</xdr:rowOff>
    </xdr:to>
    <xdr:sp macro="" textlink="">
      <xdr:nvSpPr>
        <xdr:cNvPr id="4392" name="Arrow: Down 4391">
          <a:extLst>
            <a:ext uri="{FF2B5EF4-FFF2-40B4-BE49-F238E27FC236}">
              <a16:creationId xmlns:a16="http://schemas.microsoft.com/office/drawing/2014/main" id="{FE4ED787-3204-41B7-AC67-7AFA84E36328}"/>
            </a:ext>
          </a:extLst>
        </xdr:cNvPr>
        <xdr:cNvSpPr/>
      </xdr:nvSpPr>
      <xdr:spPr>
        <a:xfrm>
          <a:off x="190804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605</xdr:row>
      <xdr:rowOff>0</xdr:rowOff>
    </xdr:from>
    <xdr:to>
      <xdr:col>71</xdr:col>
      <xdr:colOff>83820</xdr:colOff>
      <xdr:row>605</xdr:row>
      <xdr:rowOff>114300</xdr:rowOff>
    </xdr:to>
    <xdr:sp macro="" textlink="">
      <xdr:nvSpPr>
        <xdr:cNvPr id="4394" name="Arrow: Down 4393">
          <a:extLst>
            <a:ext uri="{FF2B5EF4-FFF2-40B4-BE49-F238E27FC236}">
              <a16:creationId xmlns:a16="http://schemas.microsoft.com/office/drawing/2014/main" id="{0282D4BB-5965-4297-AB75-005B3CACBFA4}"/>
            </a:ext>
          </a:extLst>
        </xdr:cNvPr>
        <xdr:cNvSpPr/>
      </xdr:nvSpPr>
      <xdr:spPr>
        <a:xfrm rot="10800000">
          <a:off x="2180082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605</xdr:row>
      <xdr:rowOff>0</xdr:rowOff>
    </xdr:from>
    <xdr:to>
      <xdr:col>5</xdr:col>
      <xdr:colOff>83820</xdr:colOff>
      <xdr:row>605</xdr:row>
      <xdr:rowOff>114300</xdr:rowOff>
    </xdr:to>
    <xdr:sp macro="" textlink="">
      <xdr:nvSpPr>
        <xdr:cNvPr id="4395" name="Arrow: Down 4394">
          <a:extLst>
            <a:ext uri="{FF2B5EF4-FFF2-40B4-BE49-F238E27FC236}">
              <a16:creationId xmlns:a16="http://schemas.microsoft.com/office/drawing/2014/main" id="{167F35BD-0954-4BEC-AB53-4F7D5038995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605</xdr:row>
      <xdr:rowOff>0</xdr:rowOff>
    </xdr:from>
    <xdr:to>
      <xdr:col>11</xdr:col>
      <xdr:colOff>83820</xdr:colOff>
      <xdr:row>605</xdr:row>
      <xdr:rowOff>114300</xdr:rowOff>
    </xdr:to>
    <xdr:sp macro="" textlink="">
      <xdr:nvSpPr>
        <xdr:cNvPr id="4400" name="Arrow: Down 4399">
          <a:extLst>
            <a:ext uri="{FF2B5EF4-FFF2-40B4-BE49-F238E27FC236}">
              <a16:creationId xmlns:a16="http://schemas.microsoft.com/office/drawing/2014/main" id="{C8A76B53-D4FD-4DE6-B6A9-9CEC92245436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606</xdr:row>
      <xdr:rowOff>0</xdr:rowOff>
    </xdr:from>
    <xdr:to>
      <xdr:col>45</xdr:col>
      <xdr:colOff>83820</xdr:colOff>
      <xdr:row>606</xdr:row>
      <xdr:rowOff>114300</xdr:rowOff>
    </xdr:to>
    <xdr:sp macro="" textlink="">
      <xdr:nvSpPr>
        <xdr:cNvPr id="4405" name="Arrow: Down 4404">
          <a:extLst>
            <a:ext uri="{FF2B5EF4-FFF2-40B4-BE49-F238E27FC236}">
              <a16:creationId xmlns:a16="http://schemas.microsoft.com/office/drawing/2014/main" id="{DF9C89CC-94B2-453F-BCBB-5E573B83172F}"/>
            </a:ext>
          </a:extLst>
        </xdr:cNvPr>
        <xdr:cNvSpPr/>
      </xdr:nvSpPr>
      <xdr:spPr>
        <a:xfrm rot="10800000">
          <a:off x="134035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606</xdr:row>
      <xdr:rowOff>0</xdr:rowOff>
    </xdr:from>
    <xdr:to>
      <xdr:col>39</xdr:col>
      <xdr:colOff>83820</xdr:colOff>
      <xdr:row>606</xdr:row>
      <xdr:rowOff>114300</xdr:rowOff>
    </xdr:to>
    <xdr:sp macro="" textlink="">
      <xdr:nvSpPr>
        <xdr:cNvPr id="4407" name="Arrow: Down 4406">
          <a:extLst>
            <a:ext uri="{FF2B5EF4-FFF2-40B4-BE49-F238E27FC236}">
              <a16:creationId xmlns:a16="http://schemas.microsoft.com/office/drawing/2014/main" id="{7E87A8A8-7676-4A1F-86A4-CA29709AE65A}"/>
            </a:ext>
          </a:extLst>
        </xdr:cNvPr>
        <xdr:cNvSpPr/>
      </xdr:nvSpPr>
      <xdr:spPr>
        <a:xfrm>
          <a:off x="1154430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606</xdr:row>
      <xdr:rowOff>0</xdr:rowOff>
    </xdr:from>
    <xdr:to>
      <xdr:col>24</xdr:col>
      <xdr:colOff>83820</xdr:colOff>
      <xdr:row>606</xdr:row>
      <xdr:rowOff>114300</xdr:rowOff>
    </xdr:to>
    <xdr:sp macro="" textlink="">
      <xdr:nvSpPr>
        <xdr:cNvPr id="4413" name="Arrow: Down 4412">
          <a:extLst>
            <a:ext uri="{FF2B5EF4-FFF2-40B4-BE49-F238E27FC236}">
              <a16:creationId xmlns:a16="http://schemas.microsoft.com/office/drawing/2014/main" id="{62DC113C-1A5B-460E-A335-21D46F1CF128}"/>
            </a:ext>
          </a:extLst>
        </xdr:cNvPr>
        <xdr:cNvSpPr/>
      </xdr:nvSpPr>
      <xdr:spPr>
        <a:xfrm>
          <a:off x="83362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606</xdr:row>
      <xdr:rowOff>0</xdr:rowOff>
    </xdr:from>
    <xdr:to>
      <xdr:col>5</xdr:col>
      <xdr:colOff>83820</xdr:colOff>
      <xdr:row>606</xdr:row>
      <xdr:rowOff>114300</xdr:rowOff>
    </xdr:to>
    <xdr:sp macro="" textlink="">
      <xdr:nvSpPr>
        <xdr:cNvPr id="4421" name="Arrow: Down 4420">
          <a:extLst>
            <a:ext uri="{FF2B5EF4-FFF2-40B4-BE49-F238E27FC236}">
              <a16:creationId xmlns:a16="http://schemas.microsoft.com/office/drawing/2014/main" id="{0DC80C0A-4E6F-4A67-86EB-F7DC1691644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606</xdr:row>
      <xdr:rowOff>0</xdr:rowOff>
    </xdr:from>
    <xdr:to>
      <xdr:col>11</xdr:col>
      <xdr:colOff>83820</xdr:colOff>
      <xdr:row>606</xdr:row>
      <xdr:rowOff>114300</xdr:rowOff>
    </xdr:to>
    <xdr:sp macro="" textlink="">
      <xdr:nvSpPr>
        <xdr:cNvPr id="4424" name="Arrow: Down 4423">
          <a:extLst>
            <a:ext uri="{FF2B5EF4-FFF2-40B4-BE49-F238E27FC236}">
              <a16:creationId xmlns:a16="http://schemas.microsoft.com/office/drawing/2014/main" id="{37581000-5B17-49A9-B0FB-1113772ACE39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606</xdr:row>
      <xdr:rowOff>0</xdr:rowOff>
    </xdr:from>
    <xdr:to>
      <xdr:col>60</xdr:col>
      <xdr:colOff>83820</xdr:colOff>
      <xdr:row>606</xdr:row>
      <xdr:rowOff>114300</xdr:rowOff>
    </xdr:to>
    <xdr:sp macro="" textlink="">
      <xdr:nvSpPr>
        <xdr:cNvPr id="4433" name="Arrow: Down 4432">
          <a:extLst>
            <a:ext uri="{FF2B5EF4-FFF2-40B4-BE49-F238E27FC236}">
              <a16:creationId xmlns:a16="http://schemas.microsoft.com/office/drawing/2014/main" id="{A72B8C44-26F0-41B8-BB24-11DEAA94C96A}"/>
            </a:ext>
          </a:extLst>
        </xdr:cNvPr>
        <xdr:cNvSpPr/>
      </xdr:nvSpPr>
      <xdr:spPr>
        <a:xfrm>
          <a:off x="190804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606</xdr:row>
      <xdr:rowOff>0</xdr:rowOff>
    </xdr:from>
    <xdr:to>
      <xdr:col>71</xdr:col>
      <xdr:colOff>83820</xdr:colOff>
      <xdr:row>606</xdr:row>
      <xdr:rowOff>114300</xdr:rowOff>
    </xdr:to>
    <xdr:sp macro="" textlink="">
      <xdr:nvSpPr>
        <xdr:cNvPr id="4439" name="Arrow: Down 4438">
          <a:extLst>
            <a:ext uri="{FF2B5EF4-FFF2-40B4-BE49-F238E27FC236}">
              <a16:creationId xmlns:a16="http://schemas.microsoft.com/office/drawing/2014/main" id="{D4F888C5-45D1-490F-90E4-098EF5DD06E7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607</xdr:row>
      <xdr:rowOff>0</xdr:rowOff>
    </xdr:from>
    <xdr:to>
      <xdr:col>45</xdr:col>
      <xdr:colOff>83820</xdr:colOff>
      <xdr:row>607</xdr:row>
      <xdr:rowOff>114300</xdr:rowOff>
    </xdr:to>
    <xdr:sp macro="" textlink="">
      <xdr:nvSpPr>
        <xdr:cNvPr id="4444" name="Arrow: Down 4443">
          <a:extLst>
            <a:ext uri="{FF2B5EF4-FFF2-40B4-BE49-F238E27FC236}">
              <a16:creationId xmlns:a16="http://schemas.microsoft.com/office/drawing/2014/main" id="{FB6EBCDA-9D5D-4CFB-9FA4-795A5F7BCF07}"/>
            </a:ext>
          </a:extLst>
        </xdr:cNvPr>
        <xdr:cNvSpPr/>
      </xdr:nvSpPr>
      <xdr:spPr>
        <a:xfrm rot="10800000">
          <a:off x="134035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607</xdr:row>
      <xdr:rowOff>0</xdr:rowOff>
    </xdr:from>
    <xdr:to>
      <xdr:col>71</xdr:col>
      <xdr:colOff>83820</xdr:colOff>
      <xdr:row>607</xdr:row>
      <xdr:rowOff>114300</xdr:rowOff>
    </xdr:to>
    <xdr:sp macro="" textlink="">
      <xdr:nvSpPr>
        <xdr:cNvPr id="4456" name="Arrow: Down 4455">
          <a:extLst>
            <a:ext uri="{FF2B5EF4-FFF2-40B4-BE49-F238E27FC236}">
              <a16:creationId xmlns:a16="http://schemas.microsoft.com/office/drawing/2014/main" id="{036F6264-3D93-4823-B289-F22DEDC82964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607</xdr:row>
      <xdr:rowOff>0</xdr:rowOff>
    </xdr:from>
    <xdr:to>
      <xdr:col>5</xdr:col>
      <xdr:colOff>83820</xdr:colOff>
      <xdr:row>607</xdr:row>
      <xdr:rowOff>114300</xdr:rowOff>
    </xdr:to>
    <xdr:sp macro="" textlink="">
      <xdr:nvSpPr>
        <xdr:cNvPr id="4458" name="Arrow: Down 4457">
          <a:extLst>
            <a:ext uri="{FF2B5EF4-FFF2-40B4-BE49-F238E27FC236}">
              <a16:creationId xmlns:a16="http://schemas.microsoft.com/office/drawing/2014/main" id="{554F04A2-795A-42CC-A27E-1BCFF9CE6B5C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607</xdr:row>
      <xdr:rowOff>0</xdr:rowOff>
    </xdr:from>
    <xdr:to>
      <xdr:col>11</xdr:col>
      <xdr:colOff>83820</xdr:colOff>
      <xdr:row>607</xdr:row>
      <xdr:rowOff>114300</xdr:rowOff>
    </xdr:to>
    <xdr:sp macro="" textlink="">
      <xdr:nvSpPr>
        <xdr:cNvPr id="4463" name="Arrow: Down 4462">
          <a:extLst>
            <a:ext uri="{FF2B5EF4-FFF2-40B4-BE49-F238E27FC236}">
              <a16:creationId xmlns:a16="http://schemas.microsoft.com/office/drawing/2014/main" id="{295816AC-21DF-47C6-B6D4-D26C62109426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607</xdr:row>
      <xdr:rowOff>0</xdr:rowOff>
    </xdr:from>
    <xdr:to>
      <xdr:col>24</xdr:col>
      <xdr:colOff>83820</xdr:colOff>
      <xdr:row>607</xdr:row>
      <xdr:rowOff>114300</xdr:rowOff>
    </xdr:to>
    <xdr:sp macro="" textlink="">
      <xdr:nvSpPr>
        <xdr:cNvPr id="4464" name="Arrow: Down 4463">
          <a:extLst>
            <a:ext uri="{FF2B5EF4-FFF2-40B4-BE49-F238E27FC236}">
              <a16:creationId xmlns:a16="http://schemas.microsoft.com/office/drawing/2014/main" id="{5C4813BD-46BE-4F58-9C0E-4B84AD991765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607</xdr:row>
      <xdr:rowOff>0</xdr:rowOff>
    </xdr:from>
    <xdr:to>
      <xdr:col>39</xdr:col>
      <xdr:colOff>83820</xdr:colOff>
      <xdr:row>607</xdr:row>
      <xdr:rowOff>114300</xdr:rowOff>
    </xdr:to>
    <xdr:sp macro="" textlink="">
      <xdr:nvSpPr>
        <xdr:cNvPr id="4466" name="Arrow: Down 4465">
          <a:extLst>
            <a:ext uri="{FF2B5EF4-FFF2-40B4-BE49-F238E27FC236}">
              <a16:creationId xmlns:a16="http://schemas.microsoft.com/office/drawing/2014/main" id="{5247E3CC-6313-446F-932E-08A571FA7E6F}"/>
            </a:ext>
          </a:extLst>
        </xdr:cNvPr>
        <xdr:cNvSpPr/>
      </xdr:nvSpPr>
      <xdr:spPr>
        <a:xfrm rot="10800000">
          <a:off x="1154430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608</xdr:row>
      <xdr:rowOff>0</xdr:rowOff>
    </xdr:from>
    <xdr:to>
      <xdr:col>45</xdr:col>
      <xdr:colOff>83820</xdr:colOff>
      <xdr:row>608</xdr:row>
      <xdr:rowOff>114300</xdr:rowOff>
    </xdr:to>
    <xdr:sp macro="" textlink="">
      <xdr:nvSpPr>
        <xdr:cNvPr id="4471" name="Arrow: Down 4470">
          <a:extLst>
            <a:ext uri="{FF2B5EF4-FFF2-40B4-BE49-F238E27FC236}">
              <a16:creationId xmlns:a16="http://schemas.microsoft.com/office/drawing/2014/main" id="{DA055602-2CB9-4371-AE1D-0DF7F21CB742}"/>
            </a:ext>
          </a:extLst>
        </xdr:cNvPr>
        <xdr:cNvSpPr/>
      </xdr:nvSpPr>
      <xdr:spPr>
        <a:xfrm rot="10800000">
          <a:off x="134035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608</xdr:row>
      <xdr:rowOff>0</xdr:rowOff>
    </xdr:from>
    <xdr:to>
      <xdr:col>71</xdr:col>
      <xdr:colOff>83820</xdr:colOff>
      <xdr:row>608</xdr:row>
      <xdr:rowOff>114300</xdr:rowOff>
    </xdr:to>
    <xdr:sp macro="" textlink="">
      <xdr:nvSpPr>
        <xdr:cNvPr id="4475" name="Arrow: Down 4474">
          <a:extLst>
            <a:ext uri="{FF2B5EF4-FFF2-40B4-BE49-F238E27FC236}">
              <a16:creationId xmlns:a16="http://schemas.microsoft.com/office/drawing/2014/main" id="{2CA9A59C-F090-49FB-8334-185756237B00}"/>
            </a:ext>
          </a:extLst>
        </xdr:cNvPr>
        <xdr:cNvSpPr/>
      </xdr:nvSpPr>
      <xdr:spPr>
        <a:xfrm>
          <a:off x="2180082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608</xdr:row>
      <xdr:rowOff>0</xdr:rowOff>
    </xdr:from>
    <xdr:to>
      <xdr:col>5</xdr:col>
      <xdr:colOff>83820</xdr:colOff>
      <xdr:row>608</xdr:row>
      <xdr:rowOff>114300</xdr:rowOff>
    </xdr:to>
    <xdr:sp macro="" textlink="">
      <xdr:nvSpPr>
        <xdr:cNvPr id="4477" name="Arrow: Down 4476">
          <a:extLst>
            <a:ext uri="{FF2B5EF4-FFF2-40B4-BE49-F238E27FC236}">
              <a16:creationId xmlns:a16="http://schemas.microsoft.com/office/drawing/2014/main" id="{DCC8ABA2-D74C-41EE-8FD0-C239E6F8442E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608</xdr:row>
      <xdr:rowOff>0</xdr:rowOff>
    </xdr:from>
    <xdr:to>
      <xdr:col>11</xdr:col>
      <xdr:colOff>83820</xdr:colOff>
      <xdr:row>608</xdr:row>
      <xdr:rowOff>114300</xdr:rowOff>
    </xdr:to>
    <xdr:sp macro="" textlink="">
      <xdr:nvSpPr>
        <xdr:cNvPr id="4479" name="Arrow: Down 4478">
          <a:extLst>
            <a:ext uri="{FF2B5EF4-FFF2-40B4-BE49-F238E27FC236}">
              <a16:creationId xmlns:a16="http://schemas.microsoft.com/office/drawing/2014/main" id="{5B47E393-4686-4C5E-8BBC-2CD21ACE75A4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608</xdr:row>
      <xdr:rowOff>0</xdr:rowOff>
    </xdr:from>
    <xdr:to>
      <xdr:col>24</xdr:col>
      <xdr:colOff>83820</xdr:colOff>
      <xdr:row>608</xdr:row>
      <xdr:rowOff>114300</xdr:rowOff>
    </xdr:to>
    <xdr:sp macro="" textlink="">
      <xdr:nvSpPr>
        <xdr:cNvPr id="4480" name="Arrow: Down 4479">
          <a:extLst>
            <a:ext uri="{FF2B5EF4-FFF2-40B4-BE49-F238E27FC236}">
              <a16:creationId xmlns:a16="http://schemas.microsoft.com/office/drawing/2014/main" id="{7B53511B-880B-46D9-B95E-D112B330907C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608</xdr:row>
      <xdr:rowOff>0</xdr:rowOff>
    </xdr:from>
    <xdr:to>
      <xdr:col>60</xdr:col>
      <xdr:colOff>83820</xdr:colOff>
      <xdr:row>608</xdr:row>
      <xdr:rowOff>114300</xdr:rowOff>
    </xdr:to>
    <xdr:sp macro="" textlink="">
      <xdr:nvSpPr>
        <xdr:cNvPr id="4482" name="Arrow: Down 4481">
          <a:extLst>
            <a:ext uri="{FF2B5EF4-FFF2-40B4-BE49-F238E27FC236}">
              <a16:creationId xmlns:a16="http://schemas.microsoft.com/office/drawing/2014/main" id="{C4FBD3E7-45D1-491D-8A04-4E081B41124D}"/>
            </a:ext>
          </a:extLst>
        </xdr:cNvPr>
        <xdr:cNvSpPr/>
      </xdr:nvSpPr>
      <xdr:spPr>
        <a:xfrm rot="10800000">
          <a:off x="190804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607</xdr:row>
      <xdr:rowOff>0</xdr:rowOff>
    </xdr:from>
    <xdr:to>
      <xdr:col>60</xdr:col>
      <xdr:colOff>83820</xdr:colOff>
      <xdr:row>607</xdr:row>
      <xdr:rowOff>114300</xdr:rowOff>
    </xdr:to>
    <xdr:sp macro="" textlink="">
      <xdr:nvSpPr>
        <xdr:cNvPr id="4484" name="Arrow: Down 4483">
          <a:extLst>
            <a:ext uri="{FF2B5EF4-FFF2-40B4-BE49-F238E27FC236}">
              <a16:creationId xmlns:a16="http://schemas.microsoft.com/office/drawing/2014/main" id="{AA0ECCAF-A552-472C-B5E7-065ABE3B332A}"/>
            </a:ext>
          </a:extLst>
        </xdr:cNvPr>
        <xdr:cNvSpPr/>
      </xdr:nvSpPr>
      <xdr:spPr>
        <a:xfrm>
          <a:off x="190804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608</xdr:row>
      <xdr:rowOff>0</xdr:rowOff>
    </xdr:from>
    <xdr:to>
      <xdr:col>39</xdr:col>
      <xdr:colOff>83820</xdr:colOff>
      <xdr:row>608</xdr:row>
      <xdr:rowOff>114300</xdr:rowOff>
    </xdr:to>
    <xdr:sp macro="" textlink="">
      <xdr:nvSpPr>
        <xdr:cNvPr id="4492" name="Arrow: Down 4491">
          <a:extLst>
            <a:ext uri="{FF2B5EF4-FFF2-40B4-BE49-F238E27FC236}">
              <a16:creationId xmlns:a16="http://schemas.microsoft.com/office/drawing/2014/main" id="{46E18745-4DBC-4B53-BC97-E203CE8C8CDB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609</xdr:row>
      <xdr:rowOff>0</xdr:rowOff>
    </xdr:from>
    <xdr:to>
      <xdr:col>45</xdr:col>
      <xdr:colOff>83820</xdr:colOff>
      <xdr:row>609</xdr:row>
      <xdr:rowOff>114300</xdr:rowOff>
    </xdr:to>
    <xdr:sp macro="" textlink="">
      <xdr:nvSpPr>
        <xdr:cNvPr id="4496" name="Arrow: Down 4495">
          <a:extLst>
            <a:ext uri="{FF2B5EF4-FFF2-40B4-BE49-F238E27FC236}">
              <a16:creationId xmlns:a16="http://schemas.microsoft.com/office/drawing/2014/main" id="{C494F709-C58E-4030-B1ED-A0DDF4FAA38E}"/>
            </a:ext>
          </a:extLst>
        </xdr:cNvPr>
        <xdr:cNvSpPr/>
      </xdr:nvSpPr>
      <xdr:spPr>
        <a:xfrm rot="10800000">
          <a:off x="1340358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609</xdr:row>
      <xdr:rowOff>0</xdr:rowOff>
    </xdr:from>
    <xdr:to>
      <xdr:col>71</xdr:col>
      <xdr:colOff>83820</xdr:colOff>
      <xdr:row>609</xdr:row>
      <xdr:rowOff>114300</xdr:rowOff>
    </xdr:to>
    <xdr:sp macro="" textlink="">
      <xdr:nvSpPr>
        <xdr:cNvPr id="4501" name="Arrow: Down 4500">
          <a:extLst>
            <a:ext uri="{FF2B5EF4-FFF2-40B4-BE49-F238E27FC236}">
              <a16:creationId xmlns:a16="http://schemas.microsoft.com/office/drawing/2014/main" id="{20AEB57C-582C-4714-A2FE-34C5253209E5}"/>
            </a:ext>
          </a:extLst>
        </xdr:cNvPr>
        <xdr:cNvSpPr/>
      </xdr:nvSpPr>
      <xdr:spPr>
        <a:xfrm>
          <a:off x="2180082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609</xdr:row>
      <xdr:rowOff>0</xdr:rowOff>
    </xdr:from>
    <xdr:to>
      <xdr:col>5</xdr:col>
      <xdr:colOff>83820</xdr:colOff>
      <xdr:row>609</xdr:row>
      <xdr:rowOff>114300</xdr:rowOff>
    </xdr:to>
    <xdr:sp macro="" textlink="">
      <xdr:nvSpPr>
        <xdr:cNvPr id="4503" name="Arrow: Down 4502">
          <a:extLst>
            <a:ext uri="{FF2B5EF4-FFF2-40B4-BE49-F238E27FC236}">
              <a16:creationId xmlns:a16="http://schemas.microsoft.com/office/drawing/2014/main" id="{84F1060E-1AF6-47F6-B9A5-8C429BD07916}"/>
            </a:ext>
          </a:extLst>
        </xdr:cNvPr>
        <xdr:cNvSpPr/>
      </xdr:nvSpPr>
      <xdr:spPr>
        <a:xfrm rot="10800000">
          <a:off x="192786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609</xdr:row>
      <xdr:rowOff>0</xdr:rowOff>
    </xdr:from>
    <xdr:to>
      <xdr:col>11</xdr:col>
      <xdr:colOff>83820</xdr:colOff>
      <xdr:row>609</xdr:row>
      <xdr:rowOff>114300</xdr:rowOff>
    </xdr:to>
    <xdr:sp macro="" textlink="">
      <xdr:nvSpPr>
        <xdr:cNvPr id="4504" name="Arrow: Down 4503">
          <a:extLst>
            <a:ext uri="{FF2B5EF4-FFF2-40B4-BE49-F238E27FC236}">
              <a16:creationId xmlns:a16="http://schemas.microsoft.com/office/drawing/2014/main" id="{61796514-B4A1-4FFC-BE98-10AF5C148D39}"/>
            </a:ext>
          </a:extLst>
        </xdr:cNvPr>
        <xdr:cNvSpPr/>
      </xdr:nvSpPr>
      <xdr:spPr>
        <a:xfrm rot="10800000">
          <a:off x="36957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609</xdr:row>
      <xdr:rowOff>0</xdr:rowOff>
    </xdr:from>
    <xdr:to>
      <xdr:col>24</xdr:col>
      <xdr:colOff>83820</xdr:colOff>
      <xdr:row>609</xdr:row>
      <xdr:rowOff>114300</xdr:rowOff>
    </xdr:to>
    <xdr:sp macro="" textlink="">
      <xdr:nvSpPr>
        <xdr:cNvPr id="4505" name="Arrow: Down 4504">
          <a:extLst>
            <a:ext uri="{FF2B5EF4-FFF2-40B4-BE49-F238E27FC236}">
              <a16:creationId xmlns:a16="http://schemas.microsoft.com/office/drawing/2014/main" id="{EA7FA4C3-C566-4855-BF14-378A03D8CE49}"/>
            </a:ext>
          </a:extLst>
        </xdr:cNvPr>
        <xdr:cNvSpPr/>
      </xdr:nvSpPr>
      <xdr:spPr>
        <a:xfrm rot="10800000">
          <a:off x="83362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609</xdr:row>
      <xdr:rowOff>0</xdr:rowOff>
    </xdr:from>
    <xdr:to>
      <xdr:col>60</xdr:col>
      <xdr:colOff>83820</xdr:colOff>
      <xdr:row>609</xdr:row>
      <xdr:rowOff>114300</xdr:rowOff>
    </xdr:to>
    <xdr:sp macro="" textlink="">
      <xdr:nvSpPr>
        <xdr:cNvPr id="4506" name="Arrow: Down 4505">
          <a:extLst>
            <a:ext uri="{FF2B5EF4-FFF2-40B4-BE49-F238E27FC236}">
              <a16:creationId xmlns:a16="http://schemas.microsoft.com/office/drawing/2014/main" id="{C8BA2114-6B3D-4184-8494-5187BF8E4574}"/>
            </a:ext>
          </a:extLst>
        </xdr:cNvPr>
        <xdr:cNvSpPr/>
      </xdr:nvSpPr>
      <xdr:spPr>
        <a:xfrm rot="10800000">
          <a:off x="190804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609</xdr:row>
      <xdr:rowOff>0</xdr:rowOff>
    </xdr:from>
    <xdr:to>
      <xdr:col>39</xdr:col>
      <xdr:colOff>83820</xdr:colOff>
      <xdr:row>609</xdr:row>
      <xdr:rowOff>114300</xdr:rowOff>
    </xdr:to>
    <xdr:sp macro="" textlink="">
      <xdr:nvSpPr>
        <xdr:cNvPr id="4507" name="Arrow: Down 4506">
          <a:extLst>
            <a:ext uri="{FF2B5EF4-FFF2-40B4-BE49-F238E27FC236}">
              <a16:creationId xmlns:a16="http://schemas.microsoft.com/office/drawing/2014/main" id="{4EA1A58D-4466-414E-96D5-536009D7D8B5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610</xdr:row>
      <xdr:rowOff>0</xdr:rowOff>
    </xdr:from>
    <xdr:to>
      <xdr:col>45</xdr:col>
      <xdr:colOff>83820</xdr:colOff>
      <xdr:row>610</xdr:row>
      <xdr:rowOff>114300</xdr:rowOff>
    </xdr:to>
    <xdr:sp macro="" textlink="">
      <xdr:nvSpPr>
        <xdr:cNvPr id="4522" name="Arrow: Down 4521">
          <a:extLst>
            <a:ext uri="{FF2B5EF4-FFF2-40B4-BE49-F238E27FC236}">
              <a16:creationId xmlns:a16="http://schemas.microsoft.com/office/drawing/2014/main" id="{3D6A4999-D8E4-40B7-937E-9C3C8B466224}"/>
            </a:ext>
          </a:extLst>
        </xdr:cNvPr>
        <xdr:cNvSpPr/>
      </xdr:nvSpPr>
      <xdr:spPr>
        <a:xfrm rot="10800000">
          <a:off x="13403580" y="11147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610</xdr:row>
      <xdr:rowOff>0</xdr:rowOff>
    </xdr:from>
    <xdr:to>
      <xdr:col>5</xdr:col>
      <xdr:colOff>83820</xdr:colOff>
      <xdr:row>610</xdr:row>
      <xdr:rowOff>114300</xdr:rowOff>
    </xdr:to>
    <xdr:sp macro="" textlink="">
      <xdr:nvSpPr>
        <xdr:cNvPr id="4532" name="Arrow: Down 4531">
          <a:extLst>
            <a:ext uri="{FF2B5EF4-FFF2-40B4-BE49-F238E27FC236}">
              <a16:creationId xmlns:a16="http://schemas.microsoft.com/office/drawing/2014/main" id="{55822D9E-5B6D-4993-B860-619490C738BB}"/>
            </a:ext>
          </a:extLst>
        </xdr:cNvPr>
        <xdr:cNvSpPr/>
      </xdr:nvSpPr>
      <xdr:spPr>
        <a:xfrm>
          <a:off x="192786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610</xdr:row>
      <xdr:rowOff>0</xdr:rowOff>
    </xdr:from>
    <xdr:to>
      <xdr:col>11</xdr:col>
      <xdr:colOff>83820</xdr:colOff>
      <xdr:row>610</xdr:row>
      <xdr:rowOff>114300</xdr:rowOff>
    </xdr:to>
    <xdr:sp macro="" textlink="">
      <xdr:nvSpPr>
        <xdr:cNvPr id="4533" name="Arrow: Down 4532">
          <a:extLst>
            <a:ext uri="{FF2B5EF4-FFF2-40B4-BE49-F238E27FC236}">
              <a16:creationId xmlns:a16="http://schemas.microsoft.com/office/drawing/2014/main" id="{E91264B8-7D29-493C-904D-AE8E84A88DC5}"/>
            </a:ext>
          </a:extLst>
        </xdr:cNvPr>
        <xdr:cNvSpPr/>
      </xdr:nvSpPr>
      <xdr:spPr>
        <a:xfrm>
          <a:off x="369570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610</xdr:row>
      <xdr:rowOff>0</xdr:rowOff>
    </xdr:from>
    <xdr:to>
      <xdr:col>24</xdr:col>
      <xdr:colOff>83820</xdr:colOff>
      <xdr:row>610</xdr:row>
      <xdr:rowOff>114300</xdr:rowOff>
    </xdr:to>
    <xdr:sp macro="" textlink="">
      <xdr:nvSpPr>
        <xdr:cNvPr id="4537" name="Arrow: Down 4536">
          <a:extLst>
            <a:ext uri="{FF2B5EF4-FFF2-40B4-BE49-F238E27FC236}">
              <a16:creationId xmlns:a16="http://schemas.microsoft.com/office/drawing/2014/main" id="{F3D36BD6-B95F-40E4-8C0A-9B990F9189FB}"/>
            </a:ext>
          </a:extLst>
        </xdr:cNvPr>
        <xdr:cNvSpPr/>
      </xdr:nvSpPr>
      <xdr:spPr>
        <a:xfrm>
          <a:off x="83362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610</xdr:row>
      <xdr:rowOff>0</xdr:rowOff>
    </xdr:from>
    <xdr:to>
      <xdr:col>39</xdr:col>
      <xdr:colOff>83820</xdr:colOff>
      <xdr:row>610</xdr:row>
      <xdr:rowOff>114300</xdr:rowOff>
    </xdr:to>
    <xdr:sp macro="" textlink="">
      <xdr:nvSpPr>
        <xdr:cNvPr id="4541" name="Arrow: Down 4540">
          <a:extLst>
            <a:ext uri="{FF2B5EF4-FFF2-40B4-BE49-F238E27FC236}">
              <a16:creationId xmlns:a16="http://schemas.microsoft.com/office/drawing/2014/main" id="{C03A01E0-BEF2-4A08-9845-2CF67DC7424A}"/>
            </a:ext>
          </a:extLst>
        </xdr:cNvPr>
        <xdr:cNvSpPr/>
      </xdr:nvSpPr>
      <xdr:spPr>
        <a:xfrm>
          <a:off x="1154430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610</xdr:row>
      <xdr:rowOff>0</xdr:rowOff>
    </xdr:from>
    <xdr:to>
      <xdr:col>71</xdr:col>
      <xdr:colOff>83820</xdr:colOff>
      <xdr:row>610</xdr:row>
      <xdr:rowOff>114300</xdr:rowOff>
    </xdr:to>
    <xdr:sp macro="" textlink="">
      <xdr:nvSpPr>
        <xdr:cNvPr id="4543" name="Arrow: Down 4542">
          <a:extLst>
            <a:ext uri="{FF2B5EF4-FFF2-40B4-BE49-F238E27FC236}">
              <a16:creationId xmlns:a16="http://schemas.microsoft.com/office/drawing/2014/main" id="{BC4428C3-CDF0-4BE0-9CCD-F4F5B0257861}"/>
            </a:ext>
          </a:extLst>
        </xdr:cNvPr>
        <xdr:cNvSpPr/>
      </xdr:nvSpPr>
      <xdr:spPr>
        <a:xfrm rot="10800000">
          <a:off x="2180082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610</xdr:row>
      <xdr:rowOff>0</xdr:rowOff>
    </xdr:from>
    <xdr:to>
      <xdr:col>60</xdr:col>
      <xdr:colOff>83820</xdr:colOff>
      <xdr:row>610</xdr:row>
      <xdr:rowOff>114300</xdr:rowOff>
    </xdr:to>
    <xdr:sp macro="" textlink="">
      <xdr:nvSpPr>
        <xdr:cNvPr id="4545" name="Arrow: Down 4544">
          <a:extLst>
            <a:ext uri="{FF2B5EF4-FFF2-40B4-BE49-F238E27FC236}">
              <a16:creationId xmlns:a16="http://schemas.microsoft.com/office/drawing/2014/main" id="{FF673A69-CF44-4A5E-9ADF-6062CAE46E98}"/>
            </a:ext>
          </a:extLst>
        </xdr:cNvPr>
        <xdr:cNvSpPr/>
      </xdr:nvSpPr>
      <xdr:spPr>
        <a:xfrm rot="10800000">
          <a:off x="1908048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611</xdr:row>
      <xdr:rowOff>0</xdr:rowOff>
    </xdr:from>
    <xdr:to>
      <xdr:col>45</xdr:col>
      <xdr:colOff>83820</xdr:colOff>
      <xdr:row>611</xdr:row>
      <xdr:rowOff>114300</xdr:rowOff>
    </xdr:to>
    <xdr:sp macro="" textlink="">
      <xdr:nvSpPr>
        <xdr:cNvPr id="4447" name="Arrow: Down 4446">
          <a:extLst>
            <a:ext uri="{FF2B5EF4-FFF2-40B4-BE49-F238E27FC236}">
              <a16:creationId xmlns:a16="http://schemas.microsoft.com/office/drawing/2014/main" id="{F1670055-914C-468A-A00A-D145D6627985}"/>
            </a:ext>
          </a:extLst>
        </xdr:cNvPr>
        <xdr:cNvSpPr/>
      </xdr:nvSpPr>
      <xdr:spPr>
        <a:xfrm rot="10800000">
          <a:off x="134035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611</xdr:row>
      <xdr:rowOff>0</xdr:rowOff>
    </xdr:from>
    <xdr:to>
      <xdr:col>60</xdr:col>
      <xdr:colOff>83820</xdr:colOff>
      <xdr:row>611</xdr:row>
      <xdr:rowOff>114300</xdr:rowOff>
    </xdr:to>
    <xdr:sp macro="" textlink="">
      <xdr:nvSpPr>
        <xdr:cNvPr id="4470" name="Arrow: Down 4469">
          <a:extLst>
            <a:ext uri="{FF2B5EF4-FFF2-40B4-BE49-F238E27FC236}">
              <a16:creationId xmlns:a16="http://schemas.microsoft.com/office/drawing/2014/main" id="{F5F5878E-7E9E-41C0-87F7-44711091705C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611</xdr:row>
      <xdr:rowOff>0</xdr:rowOff>
    </xdr:from>
    <xdr:to>
      <xdr:col>39</xdr:col>
      <xdr:colOff>83820</xdr:colOff>
      <xdr:row>611</xdr:row>
      <xdr:rowOff>114300</xdr:rowOff>
    </xdr:to>
    <xdr:sp macro="" textlink="">
      <xdr:nvSpPr>
        <xdr:cNvPr id="4481" name="Arrow: Down 4480">
          <a:extLst>
            <a:ext uri="{FF2B5EF4-FFF2-40B4-BE49-F238E27FC236}">
              <a16:creationId xmlns:a16="http://schemas.microsoft.com/office/drawing/2014/main" id="{3C9D9A0E-DE45-4B66-96E6-751827893836}"/>
            </a:ext>
          </a:extLst>
        </xdr:cNvPr>
        <xdr:cNvSpPr/>
      </xdr:nvSpPr>
      <xdr:spPr>
        <a:xfrm rot="10800000">
          <a:off x="1154430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611</xdr:row>
      <xdr:rowOff>0</xdr:rowOff>
    </xdr:from>
    <xdr:to>
      <xdr:col>5</xdr:col>
      <xdr:colOff>83820</xdr:colOff>
      <xdr:row>611</xdr:row>
      <xdr:rowOff>114300</xdr:rowOff>
    </xdr:to>
    <xdr:sp macro="" textlink="">
      <xdr:nvSpPr>
        <xdr:cNvPr id="4483" name="Arrow: Down 4482">
          <a:extLst>
            <a:ext uri="{FF2B5EF4-FFF2-40B4-BE49-F238E27FC236}">
              <a16:creationId xmlns:a16="http://schemas.microsoft.com/office/drawing/2014/main" id="{5CD291FC-12D2-4E2E-93BA-0375F1C0C57F}"/>
            </a:ext>
          </a:extLst>
        </xdr:cNvPr>
        <xdr:cNvSpPr/>
      </xdr:nvSpPr>
      <xdr:spPr>
        <a:xfrm rot="10800000">
          <a:off x="192786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611</xdr:row>
      <xdr:rowOff>0</xdr:rowOff>
    </xdr:from>
    <xdr:to>
      <xdr:col>24</xdr:col>
      <xdr:colOff>83820</xdr:colOff>
      <xdr:row>611</xdr:row>
      <xdr:rowOff>114300</xdr:rowOff>
    </xdr:to>
    <xdr:sp macro="" textlink="">
      <xdr:nvSpPr>
        <xdr:cNvPr id="4485" name="Arrow: Down 4484">
          <a:extLst>
            <a:ext uri="{FF2B5EF4-FFF2-40B4-BE49-F238E27FC236}">
              <a16:creationId xmlns:a16="http://schemas.microsoft.com/office/drawing/2014/main" id="{B9134E0A-A3CE-40C7-BAD9-ED6037695C79}"/>
            </a:ext>
          </a:extLst>
        </xdr:cNvPr>
        <xdr:cNvSpPr/>
      </xdr:nvSpPr>
      <xdr:spPr>
        <a:xfrm rot="10800000">
          <a:off x="8336280" y="111838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611</xdr:row>
      <xdr:rowOff>0</xdr:rowOff>
    </xdr:from>
    <xdr:to>
      <xdr:col>11</xdr:col>
      <xdr:colOff>83820</xdr:colOff>
      <xdr:row>611</xdr:row>
      <xdr:rowOff>114300</xdr:rowOff>
    </xdr:to>
    <xdr:sp macro="" textlink="">
      <xdr:nvSpPr>
        <xdr:cNvPr id="4509" name="Arrow: Down 4508">
          <a:extLst>
            <a:ext uri="{FF2B5EF4-FFF2-40B4-BE49-F238E27FC236}">
              <a16:creationId xmlns:a16="http://schemas.microsoft.com/office/drawing/2014/main" id="{FDD1B38F-E8ED-4FEB-BB0C-5017BBDD8F03}"/>
            </a:ext>
          </a:extLst>
        </xdr:cNvPr>
        <xdr:cNvSpPr/>
      </xdr:nvSpPr>
      <xdr:spPr>
        <a:xfrm rot="10800000">
          <a:off x="369570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612</xdr:row>
      <xdr:rowOff>0</xdr:rowOff>
    </xdr:from>
    <xdr:to>
      <xdr:col>45</xdr:col>
      <xdr:colOff>83820</xdr:colOff>
      <xdr:row>612</xdr:row>
      <xdr:rowOff>114300</xdr:rowOff>
    </xdr:to>
    <xdr:sp macro="" textlink="">
      <xdr:nvSpPr>
        <xdr:cNvPr id="4514" name="Arrow: Down 4513">
          <a:extLst>
            <a:ext uri="{FF2B5EF4-FFF2-40B4-BE49-F238E27FC236}">
              <a16:creationId xmlns:a16="http://schemas.microsoft.com/office/drawing/2014/main" id="{0A01C52B-CAC3-41E2-9F78-46D6A7503D75}"/>
            </a:ext>
          </a:extLst>
        </xdr:cNvPr>
        <xdr:cNvSpPr/>
      </xdr:nvSpPr>
      <xdr:spPr>
        <a:xfrm rot="10800000">
          <a:off x="134035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612</xdr:row>
      <xdr:rowOff>0</xdr:rowOff>
    </xdr:from>
    <xdr:to>
      <xdr:col>60</xdr:col>
      <xdr:colOff>83820</xdr:colOff>
      <xdr:row>612</xdr:row>
      <xdr:rowOff>114300</xdr:rowOff>
    </xdr:to>
    <xdr:sp macro="" textlink="">
      <xdr:nvSpPr>
        <xdr:cNvPr id="4517" name="Arrow: Down 4516">
          <a:extLst>
            <a:ext uri="{FF2B5EF4-FFF2-40B4-BE49-F238E27FC236}">
              <a16:creationId xmlns:a16="http://schemas.microsoft.com/office/drawing/2014/main" id="{3235A518-300D-436D-98AB-B15E4693CBB2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612</xdr:row>
      <xdr:rowOff>0</xdr:rowOff>
    </xdr:from>
    <xdr:to>
      <xdr:col>39</xdr:col>
      <xdr:colOff>83820</xdr:colOff>
      <xdr:row>612</xdr:row>
      <xdr:rowOff>114300</xdr:rowOff>
    </xdr:to>
    <xdr:sp macro="" textlink="">
      <xdr:nvSpPr>
        <xdr:cNvPr id="4525" name="Arrow: Down 4524">
          <a:extLst>
            <a:ext uri="{FF2B5EF4-FFF2-40B4-BE49-F238E27FC236}">
              <a16:creationId xmlns:a16="http://schemas.microsoft.com/office/drawing/2014/main" id="{DE69D67A-BBB2-4506-8B85-031E63835C8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612</xdr:row>
      <xdr:rowOff>0</xdr:rowOff>
    </xdr:from>
    <xdr:to>
      <xdr:col>24</xdr:col>
      <xdr:colOff>83820</xdr:colOff>
      <xdr:row>612</xdr:row>
      <xdr:rowOff>114300</xdr:rowOff>
    </xdr:to>
    <xdr:sp macro="" textlink="">
      <xdr:nvSpPr>
        <xdr:cNvPr id="4526" name="Arrow: Down 4525">
          <a:extLst>
            <a:ext uri="{FF2B5EF4-FFF2-40B4-BE49-F238E27FC236}">
              <a16:creationId xmlns:a16="http://schemas.microsoft.com/office/drawing/2014/main" id="{2C229401-010E-44CE-9B16-F9EE912E42BA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612</xdr:row>
      <xdr:rowOff>0</xdr:rowOff>
    </xdr:from>
    <xdr:to>
      <xdr:col>11</xdr:col>
      <xdr:colOff>83820</xdr:colOff>
      <xdr:row>612</xdr:row>
      <xdr:rowOff>114300</xdr:rowOff>
    </xdr:to>
    <xdr:sp macro="" textlink="">
      <xdr:nvSpPr>
        <xdr:cNvPr id="4530" name="Arrow: Down 4529">
          <a:extLst>
            <a:ext uri="{FF2B5EF4-FFF2-40B4-BE49-F238E27FC236}">
              <a16:creationId xmlns:a16="http://schemas.microsoft.com/office/drawing/2014/main" id="{B5F3A72D-40E5-48C0-A33E-CD49CB614EA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612</xdr:row>
      <xdr:rowOff>0</xdr:rowOff>
    </xdr:from>
    <xdr:to>
      <xdr:col>5</xdr:col>
      <xdr:colOff>83820</xdr:colOff>
      <xdr:row>612</xdr:row>
      <xdr:rowOff>114300</xdr:rowOff>
    </xdr:to>
    <xdr:sp macro="" textlink="">
      <xdr:nvSpPr>
        <xdr:cNvPr id="4531" name="Arrow: Down 4530">
          <a:extLst>
            <a:ext uri="{FF2B5EF4-FFF2-40B4-BE49-F238E27FC236}">
              <a16:creationId xmlns:a16="http://schemas.microsoft.com/office/drawing/2014/main" id="{CB8FCAF4-1A2A-4CB2-8645-A0CF751F9ADA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613</xdr:row>
      <xdr:rowOff>0</xdr:rowOff>
    </xdr:from>
    <xdr:to>
      <xdr:col>45</xdr:col>
      <xdr:colOff>83820</xdr:colOff>
      <xdr:row>613</xdr:row>
      <xdr:rowOff>114300</xdr:rowOff>
    </xdr:to>
    <xdr:sp macro="" textlink="">
      <xdr:nvSpPr>
        <xdr:cNvPr id="4539" name="Arrow: Down 4538">
          <a:extLst>
            <a:ext uri="{FF2B5EF4-FFF2-40B4-BE49-F238E27FC236}">
              <a16:creationId xmlns:a16="http://schemas.microsoft.com/office/drawing/2014/main" id="{3DFF041E-D733-4D97-9B98-6DFF3568F70C}"/>
            </a:ext>
          </a:extLst>
        </xdr:cNvPr>
        <xdr:cNvSpPr/>
      </xdr:nvSpPr>
      <xdr:spPr>
        <a:xfrm rot="10800000">
          <a:off x="134035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613</xdr:row>
      <xdr:rowOff>0</xdr:rowOff>
    </xdr:from>
    <xdr:to>
      <xdr:col>39</xdr:col>
      <xdr:colOff>83820</xdr:colOff>
      <xdr:row>613</xdr:row>
      <xdr:rowOff>114300</xdr:rowOff>
    </xdr:to>
    <xdr:sp macro="" textlink="">
      <xdr:nvSpPr>
        <xdr:cNvPr id="4546" name="Arrow: Down 4545">
          <a:extLst>
            <a:ext uri="{FF2B5EF4-FFF2-40B4-BE49-F238E27FC236}">
              <a16:creationId xmlns:a16="http://schemas.microsoft.com/office/drawing/2014/main" id="{5272E315-DF77-4BEA-905D-581F8ECD19B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613</xdr:row>
      <xdr:rowOff>0</xdr:rowOff>
    </xdr:from>
    <xdr:to>
      <xdr:col>24</xdr:col>
      <xdr:colOff>83820</xdr:colOff>
      <xdr:row>613</xdr:row>
      <xdr:rowOff>114300</xdr:rowOff>
    </xdr:to>
    <xdr:sp macro="" textlink="">
      <xdr:nvSpPr>
        <xdr:cNvPr id="4547" name="Arrow: Down 4546">
          <a:extLst>
            <a:ext uri="{FF2B5EF4-FFF2-40B4-BE49-F238E27FC236}">
              <a16:creationId xmlns:a16="http://schemas.microsoft.com/office/drawing/2014/main" id="{EED84B47-32FA-436A-9FC8-B024BB057D39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613</xdr:row>
      <xdr:rowOff>0</xdr:rowOff>
    </xdr:from>
    <xdr:to>
      <xdr:col>11</xdr:col>
      <xdr:colOff>83820</xdr:colOff>
      <xdr:row>613</xdr:row>
      <xdr:rowOff>114300</xdr:rowOff>
    </xdr:to>
    <xdr:sp macro="" textlink="">
      <xdr:nvSpPr>
        <xdr:cNvPr id="4554" name="Arrow: Down 4553">
          <a:extLst>
            <a:ext uri="{FF2B5EF4-FFF2-40B4-BE49-F238E27FC236}">
              <a16:creationId xmlns:a16="http://schemas.microsoft.com/office/drawing/2014/main" id="{60AEA0AD-3FE9-49D5-9205-9363501D276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613</xdr:row>
      <xdr:rowOff>0</xdr:rowOff>
    </xdr:from>
    <xdr:to>
      <xdr:col>5</xdr:col>
      <xdr:colOff>83820</xdr:colOff>
      <xdr:row>613</xdr:row>
      <xdr:rowOff>114300</xdr:rowOff>
    </xdr:to>
    <xdr:sp macro="" textlink="">
      <xdr:nvSpPr>
        <xdr:cNvPr id="4555" name="Arrow: Down 4554">
          <a:extLst>
            <a:ext uri="{FF2B5EF4-FFF2-40B4-BE49-F238E27FC236}">
              <a16:creationId xmlns:a16="http://schemas.microsoft.com/office/drawing/2014/main" id="{C220BD9C-4339-4D51-9755-6BC082851621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611</xdr:row>
      <xdr:rowOff>0</xdr:rowOff>
    </xdr:from>
    <xdr:to>
      <xdr:col>71</xdr:col>
      <xdr:colOff>83820</xdr:colOff>
      <xdr:row>611</xdr:row>
      <xdr:rowOff>114300</xdr:rowOff>
    </xdr:to>
    <xdr:sp macro="" textlink="">
      <xdr:nvSpPr>
        <xdr:cNvPr id="4559" name="Arrow: Down 4558">
          <a:extLst>
            <a:ext uri="{FF2B5EF4-FFF2-40B4-BE49-F238E27FC236}">
              <a16:creationId xmlns:a16="http://schemas.microsoft.com/office/drawing/2014/main" id="{22234A30-E47A-4FCC-B376-E4A277FB308D}"/>
            </a:ext>
          </a:extLst>
        </xdr:cNvPr>
        <xdr:cNvSpPr/>
      </xdr:nvSpPr>
      <xdr:spPr>
        <a:xfrm>
          <a:off x="2180082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613</xdr:row>
      <xdr:rowOff>0</xdr:rowOff>
    </xdr:from>
    <xdr:to>
      <xdr:col>71</xdr:col>
      <xdr:colOff>83820</xdr:colOff>
      <xdr:row>613</xdr:row>
      <xdr:rowOff>114300</xdr:rowOff>
    </xdr:to>
    <xdr:sp macro="" textlink="">
      <xdr:nvSpPr>
        <xdr:cNvPr id="4560" name="Arrow: Down 4559">
          <a:extLst>
            <a:ext uri="{FF2B5EF4-FFF2-40B4-BE49-F238E27FC236}">
              <a16:creationId xmlns:a16="http://schemas.microsoft.com/office/drawing/2014/main" id="{D3E1BD11-D546-4D16-B23A-72019082727F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612</xdr:row>
      <xdr:rowOff>0</xdr:rowOff>
    </xdr:from>
    <xdr:to>
      <xdr:col>71</xdr:col>
      <xdr:colOff>83820</xdr:colOff>
      <xdr:row>612</xdr:row>
      <xdr:rowOff>114300</xdr:rowOff>
    </xdr:to>
    <xdr:sp macro="" textlink="">
      <xdr:nvSpPr>
        <xdr:cNvPr id="4561" name="Arrow: Down 4560">
          <a:extLst>
            <a:ext uri="{FF2B5EF4-FFF2-40B4-BE49-F238E27FC236}">
              <a16:creationId xmlns:a16="http://schemas.microsoft.com/office/drawing/2014/main" id="{198C4A05-D308-4FCF-B1F2-17F534A987FA}"/>
            </a:ext>
          </a:extLst>
        </xdr:cNvPr>
        <xdr:cNvSpPr/>
      </xdr:nvSpPr>
      <xdr:spPr>
        <a:xfrm>
          <a:off x="2180082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614</xdr:row>
      <xdr:rowOff>0</xdr:rowOff>
    </xdr:from>
    <xdr:to>
      <xdr:col>45</xdr:col>
      <xdr:colOff>83820</xdr:colOff>
      <xdr:row>614</xdr:row>
      <xdr:rowOff>114300</xdr:rowOff>
    </xdr:to>
    <xdr:sp macro="" textlink="">
      <xdr:nvSpPr>
        <xdr:cNvPr id="4359" name="Arrow: Down 4358">
          <a:extLst>
            <a:ext uri="{FF2B5EF4-FFF2-40B4-BE49-F238E27FC236}">
              <a16:creationId xmlns:a16="http://schemas.microsoft.com/office/drawing/2014/main" id="{09204ECF-7D45-492E-A8A4-D04098B63F28}"/>
            </a:ext>
          </a:extLst>
        </xdr:cNvPr>
        <xdr:cNvSpPr/>
      </xdr:nvSpPr>
      <xdr:spPr>
        <a:xfrm rot="10800000">
          <a:off x="134035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614</xdr:row>
      <xdr:rowOff>0</xdr:rowOff>
    </xdr:from>
    <xdr:to>
      <xdr:col>60</xdr:col>
      <xdr:colOff>83820</xdr:colOff>
      <xdr:row>614</xdr:row>
      <xdr:rowOff>114300</xdr:rowOff>
    </xdr:to>
    <xdr:sp macro="" textlink="">
      <xdr:nvSpPr>
        <xdr:cNvPr id="4362" name="Arrow: Down 4361">
          <a:extLst>
            <a:ext uri="{FF2B5EF4-FFF2-40B4-BE49-F238E27FC236}">
              <a16:creationId xmlns:a16="http://schemas.microsoft.com/office/drawing/2014/main" id="{085C8C55-8AE6-4EE8-8535-D5AEB2118EF2}"/>
            </a:ext>
          </a:extLst>
        </xdr:cNvPr>
        <xdr:cNvSpPr/>
      </xdr:nvSpPr>
      <xdr:spPr>
        <a:xfrm>
          <a:off x="190804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614</xdr:row>
      <xdr:rowOff>0</xdr:rowOff>
    </xdr:from>
    <xdr:to>
      <xdr:col>71</xdr:col>
      <xdr:colOff>83820</xdr:colOff>
      <xdr:row>614</xdr:row>
      <xdr:rowOff>114300</xdr:rowOff>
    </xdr:to>
    <xdr:sp macro="" textlink="">
      <xdr:nvSpPr>
        <xdr:cNvPr id="4418" name="Arrow: Down 4417">
          <a:extLst>
            <a:ext uri="{FF2B5EF4-FFF2-40B4-BE49-F238E27FC236}">
              <a16:creationId xmlns:a16="http://schemas.microsoft.com/office/drawing/2014/main" id="{D3DD9480-8B75-4A4D-9CF5-1998A9AEFB7D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613</xdr:row>
      <xdr:rowOff>0</xdr:rowOff>
    </xdr:from>
    <xdr:to>
      <xdr:col>60</xdr:col>
      <xdr:colOff>83820</xdr:colOff>
      <xdr:row>613</xdr:row>
      <xdr:rowOff>114300</xdr:rowOff>
    </xdr:to>
    <xdr:sp macro="" textlink="">
      <xdr:nvSpPr>
        <xdr:cNvPr id="4449" name="Arrow: Down 4448">
          <a:extLst>
            <a:ext uri="{FF2B5EF4-FFF2-40B4-BE49-F238E27FC236}">
              <a16:creationId xmlns:a16="http://schemas.microsoft.com/office/drawing/2014/main" id="{8D431187-F834-4CCD-ABF5-B88CF7D5AE01}"/>
            </a:ext>
          </a:extLst>
        </xdr:cNvPr>
        <xdr:cNvSpPr/>
      </xdr:nvSpPr>
      <xdr:spPr>
        <a:xfrm rot="10800000">
          <a:off x="19080480" y="11220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614</xdr:row>
      <xdr:rowOff>0</xdr:rowOff>
    </xdr:from>
    <xdr:to>
      <xdr:col>11</xdr:col>
      <xdr:colOff>83820</xdr:colOff>
      <xdr:row>614</xdr:row>
      <xdr:rowOff>114300</xdr:rowOff>
    </xdr:to>
    <xdr:sp macro="" textlink="">
      <xdr:nvSpPr>
        <xdr:cNvPr id="4451" name="Arrow: Down 4450">
          <a:extLst>
            <a:ext uri="{FF2B5EF4-FFF2-40B4-BE49-F238E27FC236}">
              <a16:creationId xmlns:a16="http://schemas.microsoft.com/office/drawing/2014/main" id="{5A9C2C4D-A7B1-465B-A3EE-CEEDE834ADBA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614</xdr:row>
      <xdr:rowOff>0</xdr:rowOff>
    </xdr:from>
    <xdr:to>
      <xdr:col>5</xdr:col>
      <xdr:colOff>83820</xdr:colOff>
      <xdr:row>614</xdr:row>
      <xdr:rowOff>114300</xdr:rowOff>
    </xdr:to>
    <xdr:sp macro="" textlink="">
      <xdr:nvSpPr>
        <xdr:cNvPr id="4452" name="Arrow: Down 4451">
          <a:extLst>
            <a:ext uri="{FF2B5EF4-FFF2-40B4-BE49-F238E27FC236}">
              <a16:creationId xmlns:a16="http://schemas.microsoft.com/office/drawing/2014/main" id="{0D9301D7-06E8-4F09-8A18-D05304A7CC6D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614</xdr:row>
      <xdr:rowOff>0</xdr:rowOff>
    </xdr:from>
    <xdr:to>
      <xdr:col>24</xdr:col>
      <xdr:colOff>83820</xdr:colOff>
      <xdr:row>614</xdr:row>
      <xdr:rowOff>114300</xdr:rowOff>
    </xdr:to>
    <xdr:sp macro="" textlink="">
      <xdr:nvSpPr>
        <xdr:cNvPr id="4457" name="Arrow: Down 4456">
          <a:extLst>
            <a:ext uri="{FF2B5EF4-FFF2-40B4-BE49-F238E27FC236}">
              <a16:creationId xmlns:a16="http://schemas.microsoft.com/office/drawing/2014/main" id="{F93D0182-E333-48B7-A6B5-77D7407BADA7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614</xdr:row>
      <xdr:rowOff>0</xdr:rowOff>
    </xdr:from>
    <xdr:to>
      <xdr:col>39</xdr:col>
      <xdr:colOff>83820</xdr:colOff>
      <xdr:row>614</xdr:row>
      <xdr:rowOff>114300</xdr:rowOff>
    </xdr:to>
    <xdr:sp macro="" textlink="">
      <xdr:nvSpPr>
        <xdr:cNvPr id="4508" name="Arrow: Down 4507">
          <a:extLst>
            <a:ext uri="{FF2B5EF4-FFF2-40B4-BE49-F238E27FC236}">
              <a16:creationId xmlns:a16="http://schemas.microsoft.com/office/drawing/2014/main" id="{3BFC73C5-C595-4529-B933-0903AAE15CB6}"/>
            </a:ext>
          </a:extLst>
        </xdr:cNvPr>
        <xdr:cNvSpPr/>
      </xdr:nvSpPr>
      <xdr:spPr>
        <a:xfrm rot="10800000">
          <a:off x="1154430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615</xdr:row>
      <xdr:rowOff>0</xdr:rowOff>
    </xdr:from>
    <xdr:to>
      <xdr:col>45</xdr:col>
      <xdr:colOff>83820</xdr:colOff>
      <xdr:row>615</xdr:row>
      <xdr:rowOff>114300</xdr:rowOff>
    </xdr:to>
    <xdr:sp macro="" textlink="">
      <xdr:nvSpPr>
        <xdr:cNvPr id="4562" name="Arrow: Down 4561">
          <a:extLst>
            <a:ext uri="{FF2B5EF4-FFF2-40B4-BE49-F238E27FC236}">
              <a16:creationId xmlns:a16="http://schemas.microsoft.com/office/drawing/2014/main" id="{9FAEE196-E3DA-4218-9AE2-71779BED60E5}"/>
            </a:ext>
          </a:extLst>
        </xdr:cNvPr>
        <xdr:cNvSpPr/>
      </xdr:nvSpPr>
      <xdr:spPr>
        <a:xfrm rot="10800000">
          <a:off x="1340358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615</xdr:row>
      <xdr:rowOff>0</xdr:rowOff>
    </xdr:from>
    <xdr:to>
      <xdr:col>11</xdr:col>
      <xdr:colOff>83820</xdr:colOff>
      <xdr:row>615</xdr:row>
      <xdr:rowOff>114300</xdr:rowOff>
    </xdr:to>
    <xdr:sp macro="" textlink="">
      <xdr:nvSpPr>
        <xdr:cNvPr id="4575" name="Arrow: Down 4574">
          <a:extLst>
            <a:ext uri="{FF2B5EF4-FFF2-40B4-BE49-F238E27FC236}">
              <a16:creationId xmlns:a16="http://schemas.microsoft.com/office/drawing/2014/main" id="{91E5C40D-9060-46AB-B221-A60B98879BE3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615</xdr:row>
      <xdr:rowOff>0</xdr:rowOff>
    </xdr:from>
    <xdr:to>
      <xdr:col>5</xdr:col>
      <xdr:colOff>83820</xdr:colOff>
      <xdr:row>615</xdr:row>
      <xdr:rowOff>114300</xdr:rowOff>
    </xdr:to>
    <xdr:sp macro="" textlink="">
      <xdr:nvSpPr>
        <xdr:cNvPr id="4577" name="Arrow: Down 4576">
          <a:extLst>
            <a:ext uri="{FF2B5EF4-FFF2-40B4-BE49-F238E27FC236}">
              <a16:creationId xmlns:a16="http://schemas.microsoft.com/office/drawing/2014/main" id="{7658F296-B32F-440F-9B69-6C3595BC6121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615</xdr:row>
      <xdr:rowOff>0</xdr:rowOff>
    </xdr:from>
    <xdr:to>
      <xdr:col>24</xdr:col>
      <xdr:colOff>83820</xdr:colOff>
      <xdr:row>615</xdr:row>
      <xdr:rowOff>114300</xdr:rowOff>
    </xdr:to>
    <xdr:sp macro="" textlink="">
      <xdr:nvSpPr>
        <xdr:cNvPr id="4588" name="Arrow: Down 4587">
          <a:extLst>
            <a:ext uri="{FF2B5EF4-FFF2-40B4-BE49-F238E27FC236}">
              <a16:creationId xmlns:a16="http://schemas.microsoft.com/office/drawing/2014/main" id="{C7925E1C-7800-44BA-AE2A-961762B27E09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615</xdr:row>
      <xdr:rowOff>0</xdr:rowOff>
    </xdr:from>
    <xdr:to>
      <xdr:col>39</xdr:col>
      <xdr:colOff>83820</xdr:colOff>
      <xdr:row>615</xdr:row>
      <xdr:rowOff>114300</xdr:rowOff>
    </xdr:to>
    <xdr:sp macro="" textlink="">
      <xdr:nvSpPr>
        <xdr:cNvPr id="4590" name="Arrow: Down 4589">
          <a:extLst>
            <a:ext uri="{FF2B5EF4-FFF2-40B4-BE49-F238E27FC236}">
              <a16:creationId xmlns:a16="http://schemas.microsoft.com/office/drawing/2014/main" id="{9096CD1A-1048-44E6-B43C-498203B6B159}"/>
            </a:ext>
          </a:extLst>
        </xdr:cNvPr>
        <xdr:cNvSpPr/>
      </xdr:nvSpPr>
      <xdr:spPr>
        <a:xfrm>
          <a:off x="115443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615</xdr:row>
      <xdr:rowOff>0</xdr:rowOff>
    </xdr:from>
    <xdr:to>
      <xdr:col>60</xdr:col>
      <xdr:colOff>83820</xdr:colOff>
      <xdr:row>615</xdr:row>
      <xdr:rowOff>114300</xdr:rowOff>
    </xdr:to>
    <xdr:sp macro="" textlink="">
      <xdr:nvSpPr>
        <xdr:cNvPr id="4594" name="Arrow: Down 4593">
          <a:extLst>
            <a:ext uri="{FF2B5EF4-FFF2-40B4-BE49-F238E27FC236}">
              <a16:creationId xmlns:a16="http://schemas.microsoft.com/office/drawing/2014/main" id="{2BB751F3-6E72-4C74-9F4D-F204A176643D}"/>
            </a:ext>
          </a:extLst>
        </xdr:cNvPr>
        <xdr:cNvSpPr/>
      </xdr:nvSpPr>
      <xdr:spPr>
        <a:xfrm rot="10800000">
          <a:off x="1908048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615</xdr:row>
      <xdr:rowOff>0</xdr:rowOff>
    </xdr:from>
    <xdr:to>
      <xdr:col>71</xdr:col>
      <xdr:colOff>83820</xdr:colOff>
      <xdr:row>615</xdr:row>
      <xdr:rowOff>114300</xdr:rowOff>
    </xdr:to>
    <xdr:sp macro="" textlink="">
      <xdr:nvSpPr>
        <xdr:cNvPr id="4595" name="Arrow: Down 4594">
          <a:extLst>
            <a:ext uri="{FF2B5EF4-FFF2-40B4-BE49-F238E27FC236}">
              <a16:creationId xmlns:a16="http://schemas.microsoft.com/office/drawing/2014/main" id="{D66DD669-5292-497D-8272-160DCDE6F058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616</xdr:row>
      <xdr:rowOff>0</xdr:rowOff>
    </xdr:from>
    <xdr:to>
      <xdr:col>45</xdr:col>
      <xdr:colOff>83820</xdr:colOff>
      <xdr:row>616</xdr:row>
      <xdr:rowOff>114300</xdr:rowOff>
    </xdr:to>
    <xdr:sp macro="" textlink="">
      <xdr:nvSpPr>
        <xdr:cNvPr id="4597" name="Arrow: Down 4596">
          <a:extLst>
            <a:ext uri="{FF2B5EF4-FFF2-40B4-BE49-F238E27FC236}">
              <a16:creationId xmlns:a16="http://schemas.microsoft.com/office/drawing/2014/main" id="{CA8404C0-0C1F-4BCE-8782-DE3B48F42094}"/>
            </a:ext>
          </a:extLst>
        </xdr:cNvPr>
        <xdr:cNvSpPr/>
      </xdr:nvSpPr>
      <xdr:spPr>
        <a:xfrm rot="10800000">
          <a:off x="13403580" y="11257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616</xdr:row>
      <xdr:rowOff>0</xdr:rowOff>
    </xdr:from>
    <xdr:to>
      <xdr:col>11</xdr:col>
      <xdr:colOff>83820</xdr:colOff>
      <xdr:row>616</xdr:row>
      <xdr:rowOff>114300</xdr:rowOff>
    </xdr:to>
    <xdr:sp macro="" textlink="">
      <xdr:nvSpPr>
        <xdr:cNvPr id="4599" name="Arrow: Down 4598">
          <a:extLst>
            <a:ext uri="{FF2B5EF4-FFF2-40B4-BE49-F238E27FC236}">
              <a16:creationId xmlns:a16="http://schemas.microsoft.com/office/drawing/2014/main" id="{D30F3E3B-CDB8-4AE6-9648-176889BE7F4B}"/>
            </a:ext>
          </a:extLst>
        </xdr:cNvPr>
        <xdr:cNvSpPr/>
      </xdr:nvSpPr>
      <xdr:spPr>
        <a:xfrm rot="10800000">
          <a:off x="36957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83820</xdr:colOff>
      <xdr:row>616</xdr:row>
      <xdr:rowOff>114300</xdr:rowOff>
    </xdr:to>
    <xdr:sp macro="" textlink="">
      <xdr:nvSpPr>
        <xdr:cNvPr id="4601" name="Arrow: Down 4600">
          <a:extLst>
            <a:ext uri="{FF2B5EF4-FFF2-40B4-BE49-F238E27FC236}">
              <a16:creationId xmlns:a16="http://schemas.microsoft.com/office/drawing/2014/main" id="{3FBA13EE-A3EB-4CB3-8E0A-6F7E95511DCA}"/>
            </a:ext>
          </a:extLst>
        </xdr:cNvPr>
        <xdr:cNvSpPr/>
      </xdr:nvSpPr>
      <xdr:spPr>
        <a:xfrm rot="10800000">
          <a:off x="192786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616</xdr:row>
      <xdr:rowOff>0</xdr:rowOff>
    </xdr:from>
    <xdr:to>
      <xdr:col>71</xdr:col>
      <xdr:colOff>83820</xdr:colOff>
      <xdr:row>616</xdr:row>
      <xdr:rowOff>114300</xdr:rowOff>
    </xdr:to>
    <xdr:sp macro="" textlink="">
      <xdr:nvSpPr>
        <xdr:cNvPr id="4605" name="Arrow: Down 4604">
          <a:extLst>
            <a:ext uri="{FF2B5EF4-FFF2-40B4-BE49-F238E27FC236}">
              <a16:creationId xmlns:a16="http://schemas.microsoft.com/office/drawing/2014/main" id="{5A1A4EB7-E2D6-418D-9B12-5320CF116E7D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616</xdr:row>
      <xdr:rowOff>0</xdr:rowOff>
    </xdr:from>
    <xdr:to>
      <xdr:col>24</xdr:col>
      <xdr:colOff>83820</xdr:colOff>
      <xdr:row>616</xdr:row>
      <xdr:rowOff>114300</xdr:rowOff>
    </xdr:to>
    <xdr:sp macro="" textlink="">
      <xdr:nvSpPr>
        <xdr:cNvPr id="4607" name="Arrow: Down 4606">
          <a:extLst>
            <a:ext uri="{FF2B5EF4-FFF2-40B4-BE49-F238E27FC236}">
              <a16:creationId xmlns:a16="http://schemas.microsoft.com/office/drawing/2014/main" id="{30AF56C4-EA90-4C3B-ABAB-E661701683FF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616</xdr:row>
      <xdr:rowOff>0</xdr:rowOff>
    </xdr:from>
    <xdr:to>
      <xdr:col>60</xdr:col>
      <xdr:colOff>83820</xdr:colOff>
      <xdr:row>616</xdr:row>
      <xdr:rowOff>114300</xdr:rowOff>
    </xdr:to>
    <xdr:sp macro="" textlink="">
      <xdr:nvSpPr>
        <xdr:cNvPr id="4612" name="Arrow: Down 4611">
          <a:extLst>
            <a:ext uri="{FF2B5EF4-FFF2-40B4-BE49-F238E27FC236}">
              <a16:creationId xmlns:a16="http://schemas.microsoft.com/office/drawing/2014/main" id="{942B31B6-94EE-4089-978B-A7A2EF3D68AE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617</xdr:row>
      <xdr:rowOff>0</xdr:rowOff>
    </xdr:from>
    <xdr:to>
      <xdr:col>45</xdr:col>
      <xdr:colOff>83820</xdr:colOff>
      <xdr:row>617</xdr:row>
      <xdr:rowOff>114300</xdr:rowOff>
    </xdr:to>
    <xdr:sp macro="" textlink="">
      <xdr:nvSpPr>
        <xdr:cNvPr id="4613" name="Arrow: Down 4612">
          <a:extLst>
            <a:ext uri="{FF2B5EF4-FFF2-40B4-BE49-F238E27FC236}">
              <a16:creationId xmlns:a16="http://schemas.microsoft.com/office/drawing/2014/main" id="{E78D4DA9-6FCB-4542-A2ED-B9353A3E91BF}"/>
            </a:ext>
          </a:extLst>
        </xdr:cNvPr>
        <xdr:cNvSpPr/>
      </xdr:nvSpPr>
      <xdr:spPr>
        <a:xfrm rot="10800000">
          <a:off x="134035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617</xdr:row>
      <xdr:rowOff>0</xdr:rowOff>
    </xdr:from>
    <xdr:to>
      <xdr:col>24</xdr:col>
      <xdr:colOff>83820</xdr:colOff>
      <xdr:row>617</xdr:row>
      <xdr:rowOff>114300</xdr:rowOff>
    </xdr:to>
    <xdr:sp macro="" textlink="">
      <xdr:nvSpPr>
        <xdr:cNvPr id="4621" name="Arrow: Down 4620">
          <a:extLst>
            <a:ext uri="{FF2B5EF4-FFF2-40B4-BE49-F238E27FC236}">
              <a16:creationId xmlns:a16="http://schemas.microsoft.com/office/drawing/2014/main" id="{88008B6E-C9D0-4071-9C59-91A000B6B6B0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617</xdr:row>
      <xdr:rowOff>0</xdr:rowOff>
    </xdr:from>
    <xdr:to>
      <xdr:col>60</xdr:col>
      <xdr:colOff>83820</xdr:colOff>
      <xdr:row>617</xdr:row>
      <xdr:rowOff>114300</xdr:rowOff>
    </xdr:to>
    <xdr:sp macro="" textlink="">
      <xdr:nvSpPr>
        <xdr:cNvPr id="4623" name="Arrow: Down 4622">
          <a:extLst>
            <a:ext uri="{FF2B5EF4-FFF2-40B4-BE49-F238E27FC236}">
              <a16:creationId xmlns:a16="http://schemas.microsoft.com/office/drawing/2014/main" id="{0661F504-6C50-4855-B0E0-72D44B06C647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617</xdr:row>
      <xdr:rowOff>0</xdr:rowOff>
    </xdr:from>
    <xdr:to>
      <xdr:col>11</xdr:col>
      <xdr:colOff>83820</xdr:colOff>
      <xdr:row>617</xdr:row>
      <xdr:rowOff>114300</xdr:rowOff>
    </xdr:to>
    <xdr:sp macro="" textlink="">
      <xdr:nvSpPr>
        <xdr:cNvPr id="4625" name="Arrow: Down 4624">
          <a:extLst>
            <a:ext uri="{FF2B5EF4-FFF2-40B4-BE49-F238E27FC236}">
              <a16:creationId xmlns:a16="http://schemas.microsoft.com/office/drawing/2014/main" id="{4EB13FE1-2BEC-4CDF-9B39-3242F7BD442E}"/>
            </a:ext>
          </a:extLst>
        </xdr:cNvPr>
        <xdr:cNvSpPr/>
      </xdr:nvSpPr>
      <xdr:spPr>
        <a:xfrm>
          <a:off x="369570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83820</xdr:colOff>
      <xdr:row>617</xdr:row>
      <xdr:rowOff>114300</xdr:rowOff>
    </xdr:to>
    <xdr:sp macro="" textlink="">
      <xdr:nvSpPr>
        <xdr:cNvPr id="4626" name="Arrow: Down 4625">
          <a:extLst>
            <a:ext uri="{FF2B5EF4-FFF2-40B4-BE49-F238E27FC236}">
              <a16:creationId xmlns:a16="http://schemas.microsoft.com/office/drawing/2014/main" id="{7008766B-81BB-4A9B-B381-9FC271660D86}"/>
            </a:ext>
          </a:extLst>
        </xdr:cNvPr>
        <xdr:cNvSpPr/>
      </xdr:nvSpPr>
      <xdr:spPr>
        <a:xfrm>
          <a:off x="192786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616</xdr:row>
      <xdr:rowOff>0</xdr:rowOff>
    </xdr:from>
    <xdr:to>
      <xdr:col>39</xdr:col>
      <xdr:colOff>83820</xdr:colOff>
      <xdr:row>616</xdr:row>
      <xdr:rowOff>114300</xdr:rowOff>
    </xdr:to>
    <xdr:sp macro="" textlink="">
      <xdr:nvSpPr>
        <xdr:cNvPr id="4629" name="Arrow: Down 4628">
          <a:extLst>
            <a:ext uri="{FF2B5EF4-FFF2-40B4-BE49-F238E27FC236}">
              <a16:creationId xmlns:a16="http://schemas.microsoft.com/office/drawing/2014/main" id="{6B51553D-19AE-4487-BBE2-2D670838F9D8}"/>
            </a:ext>
          </a:extLst>
        </xdr:cNvPr>
        <xdr:cNvSpPr/>
      </xdr:nvSpPr>
      <xdr:spPr>
        <a:xfrm rot="10800000">
          <a:off x="1154430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617</xdr:row>
      <xdr:rowOff>0</xdr:rowOff>
    </xdr:from>
    <xdr:to>
      <xdr:col>39</xdr:col>
      <xdr:colOff>83820</xdr:colOff>
      <xdr:row>617</xdr:row>
      <xdr:rowOff>114300</xdr:rowOff>
    </xdr:to>
    <xdr:sp macro="" textlink="">
      <xdr:nvSpPr>
        <xdr:cNvPr id="4630" name="Arrow: Down 4629">
          <a:extLst>
            <a:ext uri="{FF2B5EF4-FFF2-40B4-BE49-F238E27FC236}">
              <a16:creationId xmlns:a16="http://schemas.microsoft.com/office/drawing/2014/main" id="{D6FC2BCA-3029-4C0A-B32A-D3931524CC96}"/>
            </a:ext>
          </a:extLst>
        </xdr:cNvPr>
        <xdr:cNvSpPr/>
      </xdr:nvSpPr>
      <xdr:spPr>
        <a:xfrm>
          <a:off x="11544300" y="11293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617</xdr:row>
      <xdr:rowOff>0</xdr:rowOff>
    </xdr:from>
    <xdr:to>
      <xdr:col>71</xdr:col>
      <xdr:colOff>83820</xdr:colOff>
      <xdr:row>617</xdr:row>
      <xdr:rowOff>114300</xdr:rowOff>
    </xdr:to>
    <xdr:sp macro="" textlink="">
      <xdr:nvSpPr>
        <xdr:cNvPr id="4631" name="Arrow: Down 4630">
          <a:extLst>
            <a:ext uri="{FF2B5EF4-FFF2-40B4-BE49-F238E27FC236}">
              <a16:creationId xmlns:a16="http://schemas.microsoft.com/office/drawing/2014/main" id="{A4B63A70-B61A-4960-95E6-31650E7813C2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618</xdr:row>
      <xdr:rowOff>0</xdr:rowOff>
    </xdr:from>
    <xdr:to>
      <xdr:col>45</xdr:col>
      <xdr:colOff>83820</xdr:colOff>
      <xdr:row>618</xdr:row>
      <xdr:rowOff>114300</xdr:rowOff>
    </xdr:to>
    <xdr:sp macro="" textlink="">
      <xdr:nvSpPr>
        <xdr:cNvPr id="4639" name="Arrow: Down 4638">
          <a:extLst>
            <a:ext uri="{FF2B5EF4-FFF2-40B4-BE49-F238E27FC236}">
              <a16:creationId xmlns:a16="http://schemas.microsoft.com/office/drawing/2014/main" id="{4EA371EC-D2EC-4D32-BF90-639D6916B58F}"/>
            </a:ext>
          </a:extLst>
        </xdr:cNvPr>
        <xdr:cNvSpPr/>
      </xdr:nvSpPr>
      <xdr:spPr>
        <a:xfrm rot="10800000">
          <a:off x="1340358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618</xdr:row>
      <xdr:rowOff>0</xdr:rowOff>
    </xdr:from>
    <xdr:to>
      <xdr:col>71</xdr:col>
      <xdr:colOff>83820</xdr:colOff>
      <xdr:row>618</xdr:row>
      <xdr:rowOff>114300</xdr:rowOff>
    </xdr:to>
    <xdr:sp macro="" textlink="">
      <xdr:nvSpPr>
        <xdr:cNvPr id="4647" name="Arrow: Down 4646">
          <a:extLst>
            <a:ext uri="{FF2B5EF4-FFF2-40B4-BE49-F238E27FC236}">
              <a16:creationId xmlns:a16="http://schemas.microsoft.com/office/drawing/2014/main" id="{CFBCE9F4-1666-4A15-88C9-7C4A4F4229E0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618</xdr:row>
      <xdr:rowOff>0</xdr:rowOff>
    </xdr:from>
    <xdr:to>
      <xdr:col>5</xdr:col>
      <xdr:colOff>83820</xdr:colOff>
      <xdr:row>618</xdr:row>
      <xdr:rowOff>114300</xdr:rowOff>
    </xdr:to>
    <xdr:sp macro="" textlink="">
      <xdr:nvSpPr>
        <xdr:cNvPr id="4648" name="Arrow: Down 4647">
          <a:extLst>
            <a:ext uri="{FF2B5EF4-FFF2-40B4-BE49-F238E27FC236}">
              <a16:creationId xmlns:a16="http://schemas.microsoft.com/office/drawing/2014/main" id="{B86FC11B-C205-4CEB-ACDB-005ED69A921D}"/>
            </a:ext>
          </a:extLst>
        </xdr:cNvPr>
        <xdr:cNvSpPr/>
      </xdr:nvSpPr>
      <xdr:spPr>
        <a:xfrm rot="10800000">
          <a:off x="192786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618</xdr:row>
      <xdr:rowOff>0</xdr:rowOff>
    </xdr:from>
    <xdr:to>
      <xdr:col>24</xdr:col>
      <xdr:colOff>83820</xdr:colOff>
      <xdr:row>618</xdr:row>
      <xdr:rowOff>114300</xdr:rowOff>
    </xdr:to>
    <xdr:sp macro="" textlink="">
      <xdr:nvSpPr>
        <xdr:cNvPr id="4649" name="Arrow: Down 4648">
          <a:extLst>
            <a:ext uri="{FF2B5EF4-FFF2-40B4-BE49-F238E27FC236}">
              <a16:creationId xmlns:a16="http://schemas.microsoft.com/office/drawing/2014/main" id="{065E2944-87F4-4B9E-8CD8-A7752076DD4D}"/>
            </a:ext>
          </a:extLst>
        </xdr:cNvPr>
        <xdr:cNvSpPr/>
      </xdr:nvSpPr>
      <xdr:spPr>
        <a:xfrm rot="10800000">
          <a:off x="83362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618</xdr:row>
      <xdr:rowOff>0</xdr:rowOff>
    </xdr:from>
    <xdr:to>
      <xdr:col>39</xdr:col>
      <xdr:colOff>83820</xdr:colOff>
      <xdr:row>618</xdr:row>
      <xdr:rowOff>114300</xdr:rowOff>
    </xdr:to>
    <xdr:sp macro="" textlink="">
      <xdr:nvSpPr>
        <xdr:cNvPr id="4650" name="Arrow: Down 4649">
          <a:extLst>
            <a:ext uri="{FF2B5EF4-FFF2-40B4-BE49-F238E27FC236}">
              <a16:creationId xmlns:a16="http://schemas.microsoft.com/office/drawing/2014/main" id="{0EE729D6-E4C7-49C5-8044-06244117E8F8}"/>
            </a:ext>
          </a:extLst>
        </xdr:cNvPr>
        <xdr:cNvSpPr/>
      </xdr:nvSpPr>
      <xdr:spPr>
        <a:xfrm rot="10800000">
          <a:off x="11544300" y="11311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618</xdr:row>
      <xdr:rowOff>0</xdr:rowOff>
    </xdr:from>
    <xdr:to>
      <xdr:col>60</xdr:col>
      <xdr:colOff>83820</xdr:colOff>
      <xdr:row>618</xdr:row>
      <xdr:rowOff>114300</xdr:rowOff>
    </xdr:to>
    <xdr:sp macro="" textlink="">
      <xdr:nvSpPr>
        <xdr:cNvPr id="4653" name="Arrow: Down 4652">
          <a:extLst>
            <a:ext uri="{FF2B5EF4-FFF2-40B4-BE49-F238E27FC236}">
              <a16:creationId xmlns:a16="http://schemas.microsoft.com/office/drawing/2014/main" id="{7CFC6DD2-F3EF-445C-9535-A9444BB97274}"/>
            </a:ext>
          </a:extLst>
        </xdr:cNvPr>
        <xdr:cNvSpPr/>
      </xdr:nvSpPr>
      <xdr:spPr>
        <a:xfrm rot="10800000">
          <a:off x="190804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619</xdr:row>
      <xdr:rowOff>0</xdr:rowOff>
    </xdr:from>
    <xdr:to>
      <xdr:col>45</xdr:col>
      <xdr:colOff>83820</xdr:colOff>
      <xdr:row>619</xdr:row>
      <xdr:rowOff>114300</xdr:rowOff>
    </xdr:to>
    <xdr:sp macro="" textlink="">
      <xdr:nvSpPr>
        <xdr:cNvPr id="4524" name="Arrow: Down 4523">
          <a:extLst>
            <a:ext uri="{FF2B5EF4-FFF2-40B4-BE49-F238E27FC236}">
              <a16:creationId xmlns:a16="http://schemas.microsoft.com/office/drawing/2014/main" id="{FA3F1F25-A2C3-462B-8B1F-016ECD3F35D2}"/>
            </a:ext>
          </a:extLst>
        </xdr:cNvPr>
        <xdr:cNvSpPr/>
      </xdr:nvSpPr>
      <xdr:spPr>
        <a:xfrm rot="10800000">
          <a:off x="1340358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619</xdr:row>
      <xdr:rowOff>0</xdr:rowOff>
    </xdr:from>
    <xdr:to>
      <xdr:col>11</xdr:col>
      <xdr:colOff>83820</xdr:colOff>
      <xdr:row>619</xdr:row>
      <xdr:rowOff>114300</xdr:rowOff>
    </xdr:to>
    <xdr:sp macro="" textlink="">
      <xdr:nvSpPr>
        <xdr:cNvPr id="4529" name="Arrow: Down 4528">
          <a:extLst>
            <a:ext uri="{FF2B5EF4-FFF2-40B4-BE49-F238E27FC236}">
              <a16:creationId xmlns:a16="http://schemas.microsoft.com/office/drawing/2014/main" id="{5CF98F8D-5D58-4F64-B366-33789F89650F}"/>
            </a:ext>
          </a:extLst>
        </xdr:cNvPr>
        <xdr:cNvSpPr/>
      </xdr:nvSpPr>
      <xdr:spPr>
        <a:xfrm>
          <a:off x="369570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619</xdr:row>
      <xdr:rowOff>0</xdr:rowOff>
    </xdr:from>
    <xdr:to>
      <xdr:col>71</xdr:col>
      <xdr:colOff>83820</xdr:colOff>
      <xdr:row>619</xdr:row>
      <xdr:rowOff>114300</xdr:rowOff>
    </xdr:to>
    <xdr:sp macro="" textlink="">
      <xdr:nvSpPr>
        <xdr:cNvPr id="4542" name="Arrow: Down 4541">
          <a:extLst>
            <a:ext uri="{FF2B5EF4-FFF2-40B4-BE49-F238E27FC236}">
              <a16:creationId xmlns:a16="http://schemas.microsoft.com/office/drawing/2014/main" id="{AC143409-928A-4C82-B53C-74D2BBBB3C3D}"/>
            </a:ext>
          </a:extLst>
        </xdr:cNvPr>
        <xdr:cNvSpPr/>
      </xdr:nvSpPr>
      <xdr:spPr>
        <a:xfrm>
          <a:off x="2180082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619</xdr:row>
      <xdr:rowOff>0</xdr:rowOff>
    </xdr:from>
    <xdr:to>
      <xdr:col>5</xdr:col>
      <xdr:colOff>83820</xdr:colOff>
      <xdr:row>619</xdr:row>
      <xdr:rowOff>114300</xdr:rowOff>
    </xdr:to>
    <xdr:sp macro="" textlink="">
      <xdr:nvSpPr>
        <xdr:cNvPr id="4602" name="Arrow: Down 4601">
          <a:extLst>
            <a:ext uri="{FF2B5EF4-FFF2-40B4-BE49-F238E27FC236}">
              <a16:creationId xmlns:a16="http://schemas.microsoft.com/office/drawing/2014/main" id="{41C8C3B7-5DB0-437C-A741-630966B84438}"/>
            </a:ext>
          </a:extLst>
        </xdr:cNvPr>
        <xdr:cNvSpPr/>
      </xdr:nvSpPr>
      <xdr:spPr>
        <a:xfrm>
          <a:off x="192786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619</xdr:row>
      <xdr:rowOff>0</xdr:rowOff>
    </xdr:from>
    <xdr:to>
      <xdr:col>24</xdr:col>
      <xdr:colOff>83820</xdr:colOff>
      <xdr:row>619</xdr:row>
      <xdr:rowOff>114300</xdr:rowOff>
    </xdr:to>
    <xdr:sp macro="" textlink="">
      <xdr:nvSpPr>
        <xdr:cNvPr id="4603" name="Arrow: Down 4602">
          <a:extLst>
            <a:ext uri="{FF2B5EF4-FFF2-40B4-BE49-F238E27FC236}">
              <a16:creationId xmlns:a16="http://schemas.microsoft.com/office/drawing/2014/main" id="{8C3140FB-1FBB-45DF-88A7-1D2A85AB23C3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618</xdr:row>
      <xdr:rowOff>0</xdr:rowOff>
    </xdr:from>
    <xdr:to>
      <xdr:col>11</xdr:col>
      <xdr:colOff>83820</xdr:colOff>
      <xdr:row>618</xdr:row>
      <xdr:rowOff>114300</xdr:rowOff>
    </xdr:to>
    <xdr:sp macro="" textlink="">
      <xdr:nvSpPr>
        <xdr:cNvPr id="4604" name="Arrow: Down 4603">
          <a:extLst>
            <a:ext uri="{FF2B5EF4-FFF2-40B4-BE49-F238E27FC236}">
              <a16:creationId xmlns:a16="http://schemas.microsoft.com/office/drawing/2014/main" id="{20B837BA-387F-4B24-BACD-D417C3DE3394}"/>
            </a:ext>
          </a:extLst>
        </xdr:cNvPr>
        <xdr:cNvSpPr/>
      </xdr:nvSpPr>
      <xdr:spPr>
        <a:xfrm rot="10800000">
          <a:off x="369570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619</xdr:row>
      <xdr:rowOff>0</xdr:rowOff>
    </xdr:from>
    <xdr:to>
      <xdr:col>39</xdr:col>
      <xdr:colOff>83820</xdr:colOff>
      <xdr:row>619</xdr:row>
      <xdr:rowOff>114300</xdr:rowOff>
    </xdr:to>
    <xdr:sp macro="" textlink="">
      <xdr:nvSpPr>
        <xdr:cNvPr id="4611" name="Arrow: Down 4610">
          <a:extLst>
            <a:ext uri="{FF2B5EF4-FFF2-40B4-BE49-F238E27FC236}">
              <a16:creationId xmlns:a16="http://schemas.microsoft.com/office/drawing/2014/main" id="{E296ED3D-000E-4F0E-9FA3-EE2D0879889C}"/>
            </a:ext>
          </a:extLst>
        </xdr:cNvPr>
        <xdr:cNvSpPr/>
      </xdr:nvSpPr>
      <xdr:spPr>
        <a:xfrm>
          <a:off x="11544300" y="11330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619</xdr:row>
      <xdr:rowOff>0</xdr:rowOff>
    </xdr:from>
    <xdr:to>
      <xdr:col>60</xdr:col>
      <xdr:colOff>83820</xdr:colOff>
      <xdr:row>619</xdr:row>
      <xdr:rowOff>114300</xdr:rowOff>
    </xdr:to>
    <xdr:sp macro="" textlink="">
      <xdr:nvSpPr>
        <xdr:cNvPr id="4614" name="Arrow: Down 4613">
          <a:extLst>
            <a:ext uri="{FF2B5EF4-FFF2-40B4-BE49-F238E27FC236}">
              <a16:creationId xmlns:a16="http://schemas.microsoft.com/office/drawing/2014/main" id="{A40B72E2-9E2A-4628-97EA-D43FF0FD8585}"/>
            </a:ext>
          </a:extLst>
        </xdr:cNvPr>
        <xdr:cNvSpPr/>
      </xdr:nvSpPr>
      <xdr:spPr>
        <a:xfrm>
          <a:off x="190804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620</xdr:row>
      <xdr:rowOff>0</xdr:rowOff>
    </xdr:from>
    <xdr:to>
      <xdr:col>45</xdr:col>
      <xdr:colOff>83820</xdr:colOff>
      <xdr:row>620</xdr:row>
      <xdr:rowOff>114300</xdr:rowOff>
    </xdr:to>
    <xdr:sp macro="" textlink="">
      <xdr:nvSpPr>
        <xdr:cNvPr id="4633" name="Arrow: Down 4632">
          <a:extLst>
            <a:ext uri="{FF2B5EF4-FFF2-40B4-BE49-F238E27FC236}">
              <a16:creationId xmlns:a16="http://schemas.microsoft.com/office/drawing/2014/main" id="{0964140A-93C5-4975-992D-8FB7FFE3B3E4}"/>
            </a:ext>
          </a:extLst>
        </xdr:cNvPr>
        <xdr:cNvSpPr/>
      </xdr:nvSpPr>
      <xdr:spPr>
        <a:xfrm rot="10800000">
          <a:off x="134035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620</xdr:row>
      <xdr:rowOff>0</xdr:rowOff>
    </xdr:from>
    <xdr:to>
      <xdr:col>71</xdr:col>
      <xdr:colOff>83820</xdr:colOff>
      <xdr:row>620</xdr:row>
      <xdr:rowOff>114300</xdr:rowOff>
    </xdr:to>
    <xdr:sp macro="" textlink="">
      <xdr:nvSpPr>
        <xdr:cNvPr id="4635" name="Arrow: Down 4634">
          <a:extLst>
            <a:ext uri="{FF2B5EF4-FFF2-40B4-BE49-F238E27FC236}">
              <a16:creationId xmlns:a16="http://schemas.microsoft.com/office/drawing/2014/main" id="{B2491424-B0D0-4BE9-8933-A2A1ECFDE997}"/>
            </a:ext>
          </a:extLst>
        </xdr:cNvPr>
        <xdr:cNvSpPr/>
      </xdr:nvSpPr>
      <xdr:spPr>
        <a:xfrm>
          <a:off x="2180082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620</xdr:row>
      <xdr:rowOff>0</xdr:rowOff>
    </xdr:from>
    <xdr:to>
      <xdr:col>24</xdr:col>
      <xdr:colOff>83820</xdr:colOff>
      <xdr:row>620</xdr:row>
      <xdr:rowOff>114300</xdr:rowOff>
    </xdr:to>
    <xdr:sp macro="" textlink="">
      <xdr:nvSpPr>
        <xdr:cNvPr id="4637" name="Arrow: Down 4636">
          <a:extLst>
            <a:ext uri="{FF2B5EF4-FFF2-40B4-BE49-F238E27FC236}">
              <a16:creationId xmlns:a16="http://schemas.microsoft.com/office/drawing/2014/main" id="{6262AD01-7F8A-494D-A8CB-D0EC49EE7F59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620</xdr:row>
      <xdr:rowOff>0</xdr:rowOff>
    </xdr:from>
    <xdr:to>
      <xdr:col>5</xdr:col>
      <xdr:colOff>83820</xdr:colOff>
      <xdr:row>620</xdr:row>
      <xdr:rowOff>114300</xdr:rowOff>
    </xdr:to>
    <xdr:sp macro="" textlink="">
      <xdr:nvSpPr>
        <xdr:cNvPr id="4643" name="Arrow: Down 4642">
          <a:extLst>
            <a:ext uri="{FF2B5EF4-FFF2-40B4-BE49-F238E27FC236}">
              <a16:creationId xmlns:a16="http://schemas.microsoft.com/office/drawing/2014/main" id="{0D1A1A03-B396-44B2-A73B-CDA7D1D7CB63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620</xdr:row>
      <xdr:rowOff>0</xdr:rowOff>
    </xdr:from>
    <xdr:to>
      <xdr:col>11</xdr:col>
      <xdr:colOff>83820</xdr:colOff>
      <xdr:row>620</xdr:row>
      <xdr:rowOff>114300</xdr:rowOff>
    </xdr:to>
    <xdr:sp macro="" textlink="">
      <xdr:nvSpPr>
        <xdr:cNvPr id="4645" name="Arrow: Down 4644">
          <a:extLst>
            <a:ext uri="{FF2B5EF4-FFF2-40B4-BE49-F238E27FC236}">
              <a16:creationId xmlns:a16="http://schemas.microsoft.com/office/drawing/2014/main" id="{91C54E39-D044-4F9E-A58D-734BB1F149F6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620</xdr:row>
      <xdr:rowOff>0</xdr:rowOff>
    </xdr:from>
    <xdr:to>
      <xdr:col>39</xdr:col>
      <xdr:colOff>83820</xdr:colOff>
      <xdr:row>620</xdr:row>
      <xdr:rowOff>114300</xdr:rowOff>
    </xdr:to>
    <xdr:sp macro="" textlink="">
      <xdr:nvSpPr>
        <xdr:cNvPr id="4655" name="Arrow: Down 4654">
          <a:extLst>
            <a:ext uri="{FF2B5EF4-FFF2-40B4-BE49-F238E27FC236}">
              <a16:creationId xmlns:a16="http://schemas.microsoft.com/office/drawing/2014/main" id="{BABD0D8B-86B7-4D64-A6DD-09491ED6E3D4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620</xdr:row>
      <xdr:rowOff>0</xdr:rowOff>
    </xdr:from>
    <xdr:to>
      <xdr:col>60</xdr:col>
      <xdr:colOff>83820</xdr:colOff>
      <xdr:row>620</xdr:row>
      <xdr:rowOff>114300</xdr:rowOff>
    </xdr:to>
    <xdr:sp macro="" textlink="">
      <xdr:nvSpPr>
        <xdr:cNvPr id="4658" name="Arrow: Down 4657">
          <a:extLst>
            <a:ext uri="{FF2B5EF4-FFF2-40B4-BE49-F238E27FC236}">
              <a16:creationId xmlns:a16="http://schemas.microsoft.com/office/drawing/2014/main" id="{B8155FF3-E160-46B6-9C65-E6DFD07CB4EF}"/>
            </a:ext>
          </a:extLst>
        </xdr:cNvPr>
        <xdr:cNvSpPr/>
      </xdr:nvSpPr>
      <xdr:spPr>
        <a:xfrm rot="10800000">
          <a:off x="1908048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621</xdr:row>
      <xdr:rowOff>0</xdr:rowOff>
    </xdr:from>
    <xdr:to>
      <xdr:col>45</xdr:col>
      <xdr:colOff>83820</xdr:colOff>
      <xdr:row>621</xdr:row>
      <xdr:rowOff>114300</xdr:rowOff>
    </xdr:to>
    <xdr:sp macro="" textlink="">
      <xdr:nvSpPr>
        <xdr:cNvPr id="4410" name="Arrow: Down 4409">
          <a:extLst>
            <a:ext uri="{FF2B5EF4-FFF2-40B4-BE49-F238E27FC236}">
              <a16:creationId xmlns:a16="http://schemas.microsoft.com/office/drawing/2014/main" id="{2A9E593E-89C2-437A-A8BA-CE8750383A7B}"/>
            </a:ext>
          </a:extLst>
        </xdr:cNvPr>
        <xdr:cNvSpPr/>
      </xdr:nvSpPr>
      <xdr:spPr>
        <a:xfrm rot="10800000">
          <a:off x="1340358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621</xdr:row>
      <xdr:rowOff>0</xdr:rowOff>
    </xdr:from>
    <xdr:to>
      <xdr:col>71</xdr:col>
      <xdr:colOff>83820</xdr:colOff>
      <xdr:row>621</xdr:row>
      <xdr:rowOff>114300</xdr:rowOff>
    </xdr:to>
    <xdr:sp macro="" textlink="">
      <xdr:nvSpPr>
        <xdr:cNvPr id="4455" name="Arrow: Down 4454">
          <a:extLst>
            <a:ext uri="{FF2B5EF4-FFF2-40B4-BE49-F238E27FC236}">
              <a16:creationId xmlns:a16="http://schemas.microsoft.com/office/drawing/2014/main" id="{EE13FC08-D8DB-4AD7-8C8A-77F9CCC1DA06}"/>
            </a:ext>
          </a:extLst>
        </xdr:cNvPr>
        <xdr:cNvSpPr/>
      </xdr:nvSpPr>
      <xdr:spPr>
        <a:xfrm>
          <a:off x="2180082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621</xdr:row>
      <xdr:rowOff>0</xdr:rowOff>
    </xdr:from>
    <xdr:to>
      <xdr:col>5</xdr:col>
      <xdr:colOff>83820</xdr:colOff>
      <xdr:row>621</xdr:row>
      <xdr:rowOff>114300</xdr:rowOff>
    </xdr:to>
    <xdr:sp macro="" textlink="">
      <xdr:nvSpPr>
        <xdr:cNvPr id="4516" name="Arrow: Down 4515">
          <a:extLst>
            <a:ext uri="{FF2B5EF4-FFF2-40B4-BE49-F238E27FC236}">
              <a16:creationId xmlns:a16="http://schemas.microsoft.com/office/drawing/2014/main" id="{28FC8345-314C-4926-A73C-A8C4E43ACF50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621</xdr:row>
      <xdr:rowOff>0</xdr:rowOff>
    </xdr:from>
    <xdr:to>
      <xdr:col>11</xdr:col>
      <xdr:colOff>83820</xdr:colOff>
      <xdr:row>621</xdr:row>
      <xdr:rowOff>114300</xdr:rowOff>
    </xdr:to>
    <xdr:sp macro="" textlink="">
      <xdr:nvSpPr>
        <xdr:cNvPr id="4520" name="Arrow: Down 4519">
          <a:extLst>
            <a:ext uri="{FF2B5EF4-FFF2-40B4-BE49-F238E27FC236}">
              <a16:creationId xmlns:a16="http://schemas.microsoft.com/office/drawing/2014/main" id="{021DA1B3-9384-4EDA-B532-6B14E33C4360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621</xdr:row>
      <xdr:rowOff>0</xdr:rowOff>
    </xdr:from>
    <xdr:to>
      <xdr:col>39</xdr:col>
      <xdr:colOff>83820</xdr:colOff>
      <xdr:row>621</xdr:row>
      <xdr:rowOff>114300</xdr:rowOff>
    </xdr:to>
    <xdr:sp macro="" textlink="">
      <xdr:nvSpPr>
        <xdr:cNvPr id="4521" name="Arrow: Down 4520">
          <a:extLst>
            <a:ext uri="{FF2B5EF4-FFF2-40B4-BE49-F238E27FC236}">
              <a16:creationId xmlns:a16="http://schemas.microsoft.com/office/drawing/2014/main" id="{B8F75D3A-3991-476C-AF11-65696245B8A1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621</xdr:row>
      <xdr:rowOff>0</xdr:rowOff>
    </xdr:from>
    <xdr:to>
      <xdr:col>24</xdr:col>
      <xdr:colOff>83820</xdr:colOff>
      <xdr:row>621</xdr:row>
      <xdr:rowOff>114300</xdr:rowOff>
    </xdr:to>
    <xdr:sp macro="" textlink="">
      <xdr:nvSpPr>
        <xdr:cNvPr id="4544" name="Arrow: Down 4543">
          <a:extLst>
            <a:ext uri="{FF2B5EF4-FFF2-40B4-BE49-F238E27FC236}">
              <a16:creationId xmlns:a16="http://schemas.microsoft.com/office/drawing/2014/main" id="{42004CFF-6E2B-4999-A099-F289DA52CB7B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622</xdr:row>
      <xdr:rowOff>0</xdr:rowOff>
    </xdr:from>
    <xdr:to>
      <xdr:col>45</xdr:col>
      <xdr:colOff>83820</xdr:colOff>
      <xdr:row>622</xdr:row>
      <xdr:rowOff>114300</xdr:rowOff>
    </xdr:to>
    <xdr:sp macro="" textlink="">
      <xdr:nvSpPr>
        <xdr:cNvPr id="4567" name="Arrow: Down 4566">
          <a:extLst>
            <a:ext uri="{FF2B5EF4-FFF2-40B4-BE49-F238E27FC236}">
              <a16:creationId xmlns:a16="http://schemas.microsoft.com/office/drawing/2014/main" id="{0814F431-D61A-4E51-8945-463053F2CB01}"/>
            </a:ext>
          </a:extLst>
        </xdr:cNvPr>
        <xdr:cNvSpPr/>
      </xdr:nvSpPr>
      <xdr:spPr>
        <a:xfrm rot="10800000">
          <a:off x="134035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622</xdr:row>
      <xdr:rowOff>0</xdr:rowOff>
    </xdr:from>
    <xdr:to>
      <xdr:col>5</xdr:col>
      <xdr:colOff>83820</xdr:colOff>
      <xdr:row>622</xdr:row>
      <xdr:rowOff>114300</xdr:rowOff>
    </xdr:to>
    <xdr:sp macro="" textlink="">
      <xdr:nvSpPr>
        <xdr:cNvPr id="4589" name="Arrow: Down 4588">
          <a:extLst>
            <a:ext uri="{FF2B5EF4-FFF2-40B4-BE49-F238E27FC236}">
              <a16:creationId xmlns:a16="http://schemas.microsoft.com/office/drawing/2014/main" id="{928B9568-3D62-44BA-AAB3-951DB76F1DA4}"/>
            </a:ext>
          </a:extLst>
        </xdr:cNvPr>
        <xdr:cNvSpPr/>
      </xdr:nvSpPr>
      <xdr:spPr>
        <a:xfrm rot="10800000">
          <a:off x="192786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622</xdr:row>
      <xdr:rowOff>0</xdr:rowOff>
    </xdr:from>
    <xdr:to>
      <xdr:col>11</xdr:col>
      <xdr:colOff>83820</xdr:colOff>
      <xdr:row>622</xdr:row>
      <xdr:rowOff>114300</xdr:rowOff>
    </xdr:to>
    <xdr:sp macro="" textlink="">
      <xdr:nvSpPr>
        <xdr:cNvPr id="4592" name="Arrow: Down 4591">
          <a:extLst>
            <a:ext uri="{FF2B5EF4-FFF2-40B4-BE49-F238E27FC236}">
              <a16:creationId xmlns:a16="http://schemas.microsoft.com/office/drawing/2014/main" id="{9452BD6F-1508-4145-A5E3-936407A68201}"/>
            </a:ext>
          </a:extLst>
        </xdr:cNvPr>
        <xdr:cNvSpPr/>
      </xdr:nvSpPr>
      <xdr:spPr>
        <a:xfrm rot="10800000">
          <a:off x="369570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622</xdr:row>
      <xdr:rowOff>0</xdr:rowOff>
    </xdr:from>
    <xdr:to>
      <xdr:col>60</xdr:col>
      <xdr:colOff>83820</xdr:colOff>
      <xdr:row>622</xdr:row>
      <xdr:rowOff>114300</xdr:rowOff>
    </xdr:to>
    <xdr:sp macro="" textlink="">
      <xdr:nvSpPr>
        <xdr:cNvPr id="4615" name="Arrow: Down 4614">
          <a:extLst>
            <a:ext uri="{FF2B5EF4-FFF2-40B4-BE49-F238E27FC236}">
              <a16:creationId xmlns:a16="http://schemas.microsoft.com/office/drawing/2014/main" id="{CD1DF164-3C5E-4C36-AF46-86BBA14A3016}"/>
            </a:ext>
          </a:extLst>
        </xdr:cNvPr>
        <xdr:cNvSpPr/>
      </xdr:nvSpPr>
      <xdr:spPr>
        <a:xfrm rot="10800000">
          <a:off x="190804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622</xdr:row>
      <xdr:rowOff>0</xdr:rowOff>
    </xdr:from>
    <xdr:to>
      <xdr:col>24</xdr:col>
      <xdr:colOff>83820</xdr:colOff>
      <xdr:row>622</xdr:row>
      <xdr:rowOff>114300</xdr:rowOff>
    </xdr:to>
    <xdr:sp macro="" textlink="">
      <xdr:nvSpPr>
        <xdr:cNvPr id="4617" name="Arrow: Down 4616">
          <a:extLst>
            <a:ext uri="{FF2B5EF4-FFF2-40B4-BE49-F238E27FC236}">
              <a16:creationId xmlns:a16="http://schemas.microsoft.com/office/drawing/2014/main" id="{E63A37FF-B3E9-47C3-B847-49A974454458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622</xdr:row>
      <xdr:rowOff>0</xdr:rowOff>
    </xdr:from>
    <xdr:to>
      <xdr:col>39</xdr:col>
      <xdr:colOff>83820</xdr:colOff>
      <xdr:row>622</xdr:row>
      <xdr:rowOff>114300</xdr:rowOff>
    </xdr:to>
    <xdr:sp macro="" textlink="">
      <xdr:nvSpPr>
        <xdr:cNvPr id="4618" name="Arrow: Down 4617">
          <a:extLst>
            <a:ext uri="{FF2B5EF4-FFF2-40B4-BE49-F238E27FC236}">
              <a16:creationId xmlns:a16="http://schemas.microsoft.com/office/drawing/2014/main" id="{44BD3253-1DA7-4CA6-8BB4-E86663FC75A2}"/>
            </a:ext>
          </a:extLst>
        </xdr:cNvPr>
        <xdr:cNvSpPr/>
      </xdr:nvSpPr>
      <xdr:spPr>
        <a:xfrm>
          <a:off x="115443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621</xdr:row>
      <xdr:rowOff>0</xdr:rowOff>
    </xdr:from>
    <xdr:to>
      <xdr:col>60</xdr:col>
      <xdr:colOff>83820</xdr:colOff>
      <xdr:row>621</xdr:row>
      <xdr:rowOff>114300</xdr:rowOff>
    </xdr:to>
    <xdr:sp macro="" textlink="">
      <xdr:nvSpPr>
        <xdr:cNvPr id="4627" name="Arrow: Down 4626">
          <a:extLst>
            <a:ext uri="{FF2B5EF4-FFF2-40B4-BE49-F238E27FC236}">
              <a16:creationId xmlns:a16="http://schemas.microsoft.com/office/drawing/2014/main" id="{A679C51F-1606-45D6-9806-47743586B2B0}"/>
            </a:ext>
          </a:extLst>
        </xdr:cNvPr>
        <xdr:cNvSpPr/>
      </xdr:nvSpPr>
      <xdr:spPr>
        <a:xfrm>
          <a:off x="190804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622</xdr:row>
      <xdr:rowOff>0</xdr:rowOff>
    </xdr:from>
    <xdr:to>
      <xdr:col>71</xdr:col>
      <xdr:colOff>83820</xdr:colOff>
      <xdr:row>622</xdr:row>
      <xdr:rowOff>114300</xdr:rowOff>
    </xdr:to>
    <xdr:sp macro="" textlink="">
      <xdr:nvSpPr>
        <xdr:cNvPr id="4628" name="Arrow: Down 4627">
          <a:extLst>
            <a:ext uri="{FF2B5EF4-FFF2-40B4-BE49-F238E27FC236}">
              <a16:creationId xmlns:a16="http://schemas.microsoft.com/office/drawing/2014/main" id="{AC520F2D-8AB5-44F8-9E10-E2F88BCE1E09}"/>
            </a:ext>
          </a:extLst>
        </xdr:cNvPr>
        <xdr:cNvSpPr/>
      </xdr:nvSpPr>
      <xdr:spPr>
        <a:xfrm rot="10800000">
          <a:off x="2180082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623</xdr:row>
      <xdr:rowOff>0</xdr:rowOff>
    </xdr:from>
    <xdr:to>
      <xdr:col>45</xdr:col>
      <xdr:colOff>83820</xdr:colOff>
      <xdr:row>623</xdr:row>
      <xdr:rowOff>114300</xdr:rowOff>
    </xdr:to>
    <xdr:sp macro="" textlink="">
      <xdr:nvSpPr>
        <xdr:cNvPr id="4632" name="Arrow: Down 4631">
          <a:extLst>
            <a:ext uri="{FF2B5EF4-FFF2-40B4-BE49-F238E27FC236}">
              <a16:creationId xmlns:a16="http://schemas.microsoft.com/office/drawing/2014/main" id="{26DEDBB9-12DF-44F9-86C7-7672A695DFF9}"/>
            </a:ext>
          </a:extLst>
        </xdr:cNvPr>
        <xdr:cNvSpPr/>
      </xdr:nvSpPr>
      <xdr:spPr>
        <a:xfrm rot="10800000">
          <a:off x="13403580" y="11385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623</xdr:row>
      <xdr:rowOff>0</xdr:rowOff>
    </xdr:from>
    <xdr:to>
      <xdr:col>5</xdr:col>
      <xdr:colOff>83820</xdr:colOff>
      <xdr:row>623</xdr:row>
      <xdr:rowOff>114300</xdr:rowOff>
    </xdr:to>
    <xdr:sp macro="" textlink="">
      <xdr:nvSpPr>
        <xdr:cNvPr id="4634" name="Arrow: Down 4633">
          <a:extLst>
            <a:ext uri="{FF2B5EF4-FFF2-40B4-BE49-F238E27FC236}">
              <a16:creationId xmlns:a16="http://schemas.microsoft.com/office/drawing/2014/main" id="{18505EEF-9FB1-498F-9708-33DC87F0882D}"/>
            </a:ext>
          </a:extLst>
        </xdr:cNvPr>
        <xdr:cNvSpPr/>
      </xdr:nvSpPr>
      <xdr:spPr>
        <a:xfrm rot="10800000">
          <a:off x="192786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623</xdr:row>
      <xdr:rowOff>0</xdr:rowOff>
    </xdr:from>
    <xdr:to>
      <xdr:col>11</xdr:col>
      <xdr:colOff>83820</xdr:colOff>
      <xdr:row>623</xdr:row>
      <xdr:rowOff>114300</xdr:rowOff>
    </xdr:to>
    <xdr:sp macro="" textlink="">
      <xdr:nvSpPr>
        <xdr:cNvPr id="4636" name="Arrow: Down 4635">
          <a:extLst>
            <a:ext uri="{FF2B5EF4-FFF2-40B4-BE49-F238E27FC236}">
              <a16:creationId xmlns:a16="http://schemas.microsoft.com/office/drawing/2014/main" id="{04B3A0E1-845E-4450-A8A5-3BCA204D9975}"/>
            </a:ext>
          </a:extLst>
        </xdr:cNvPr>
        <xdr:cNvSpPr/>
      </xdr:nvSpPr>
      <xdr:spPr>
        <a:xfrm rot="10800000">
          <a:off x="36957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623</xdr:row>
      <xdr:rowOff>0</xdr:rowOff>
    </xdr:from>
    <xdr:to>
      <xdr:col>24</xdr:col>
      <xdr:colOff>83820</xdr:colOff>
      <xdr:row>623</xdr:row>
      <xdr:rowOff>114300</xdr:rowOff>
    </xdr:to>
    <xdr:sp macro="" textlink="">
      <xdr:nvSpPr>
        <xdr:cNvPr id="4640" name="Arrow: Down 4639">
          <a:extLst>
            <a:ext uri="{FF2B5EF4-FFF2-40B4-BE49-F238E27FC236}">
              <a16:creationId xmlns:a16="http://schemas.microsoft.com/office/drawing/2014/main" id="{0C39FFCC-CC29-4820-A73D-4B8A172AC4EE}"/>
            </a:ext>
          </a:extLst>
        </xdr:cNvPr>
        <xdr:cNvSpPr/>
      </xdr:nvSpPr>
      <xdr:spPr>
        <a:xfrm rot="10800000">
          <a:off x="833628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623</xdr:row>
      <xdr:rowOff>0</xdr:rowOff>
    </xdr:from>
    <xdr:to>
      <xdr:col>39</xdr:col>
      <xdr:colOff>83820</xdr:colOff>
      <xdr:row>623</xdr:row>
      <xdr:rowOff>114300</xdr:rowOff>
    </xdr:to>
    <xdr:sp macro="" textlink="">
      <xdr:nvSpPr>
        <xdr:cNvPr id="4660" name="Arrow: Down 4659">
          <a:extLst>
            <a:ext uri="{FF2B5EF4-FFF2-40B4-BE49-F238E27FC236}">
              <a16:creationId xmlns:a16="http://schemas.microsoft.com/office/drawing/2014/main" id="{4CBC409D-85A5-457B-BEEC-5B7DD9688A61}"/>
            </a:ext>
          </a:extLst>
        </xdr:cNvPr>
        <xdr:cNvSpPr/>
      </xdr:nvSpPr>
      <xdr:spPr>
        <a:xfrm rot="10800000">
          <a:off x="1154430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623</xdr:row>
      <xdr:rowOff>0</xdr:rowOff>
    </xdr:from>
    <xdr:to>
      <xdr:col>60</xdr:col>
      <xdr:colOff>83820</xdr:colOff>
      <xdr:row>623</xdr:row>
      <xdr:rowOff>114300</xdr:rowOff>
    </xdr:to>
    <xdr:sp macro="" textlink="">
      <xdr:nvSpPr>
        <xdr:cNvPr id="4662" name="Arrow: Down 4661">
          <a:extLst>
            <a:ext uri="{FF2B5EF4-FFF2-40B4-BE49-F238E27FC236}">
              <a16:creationId xmlns:a16="http://schemas.microsoft.com/office/drawing/2014/main" id="{98E0DA64-56CD-4332-BE84-8D4B1236D28F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624</xdr:row>
      <xdr:rowOff>0</xdr:rowOff>
    </xdr:from>
    <xdr:to>
      <xdr:col>45</xdr:col>
      <xdr:colOff>83820</xdr:colOff>
      <xdr:row>624</xdr:row>
      <xdr:rowOff>114300</xdr:rowOff>
    </xdr:to>
    <xdr:sp macro="" textlink="">
      <xdr:nvSpPr>
        <xdr:cNvPr id="4663" name="Arrow: Down 4662">
          <a:extLst>
            <a:ext uri="{FF2B5EF4-FFF2-40B4-BE49-F238E27FC236}">
              <a16:creationId xmlns:a16="http://schemas.microsoft.com/office/drawing/2014/main" id="{9314DEE4-9E0D-4D55-9C00-A122DD89D395}"/>
            </a:ext>
          </a:extLst>
        </xdr:cNvPr>
        <xdr:cNvSpPr/>
      </xdr:nvSpPr>
      <xdr:spPr>
        <a:xfrm rot="10800000">
          <a:off x="134035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624</xdr:row>
      <xdr:rowOff>0</xdr:rowOff>
    </xdr:from>
    <xdr:to>
      <xdr:col>60</xdr:col>
      <xdr:colOff>83820</xdr:colOff>
      <xdr:row>624</xdr:row>
      <xdr:rowOff>114300</xdr:rowOff>
    </xdr:to>
    <xdr:sp macro="" textlink="">
      <xdr:nvSpPr>
        <xdr:cNvPr id="4676" name="Arrow: Down 4675">
          <a:extLst>
            <a:ext uri="{FF2B5EF4-FFF2-40B4-BE49-F238E27FC236}">
              <a16:creationId xmlns:a16="http://schemas.microsoft.com/office/drawing/2014/main" id="{E0C18404-F0AB-4603-A40D-61E9C4147D28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623</xdr:row>
      <xdr:rowOff>0</xdr:rowOff>
    </xdr:from>
    <xdr:to>
      <xdr:col>71</xdr:col>
      <xdr:colOff>83820</xdr:colOff>
      <xdr:row>623</xdr:row>
      <xdr:rowOff>114300</xdr:rowOff>
    </xdr:to>
    <xdr:sp macro="" textlink="">
      <xdr:nvSpPr>
        <xdr:cNvPr id="4677" name="Arrow: Down 4676">
          <a:extLst>
            <a:ext uri="{FF2B5EF4-FFF2-40B4-BE49-F238E27FC236}">
              <a16:creationId xmlns:a16="http://schemas.microsoft.com/office/drawing/2014/main" id="{6339A0B4-189E-4028-8E8B-B1C1D4216ED1}"/>
            </a:ext>
          </a:extLst>
        </xdr:cNvPr>
        <xdr:cNvSpPr/>
      </xdr:nvSpPr>
      <xdr:spPr>
        <a:xfrm>
          <a:off x="2180082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624</xdr:row>
      <xdr:rowOff>0</xdr:rowOff>
    </xdr:from>
    <xdr:to>
      <xdr:col>71</xdr:col>
      <xdr:colOff>83820</xdr:colOff>
      <xdr:row>624</xdr:row>
      <xdr:rowOff>114300</xdr:rowOff>
    </xdr:to>
    <xdr:sp macro="" textlink="">
      <xdr:nvSpPr>
        <xdr:cNvPr id="4678" name="Arrow: Down 4677">
          <a:extLst>
            <a:ext uri="{FF2B5EF4-FFF2-40B4-BE49-F238E27FC236}">
              <a16:creationId xmlns:a16="http://schemas.microsoft.com/office/drawing/2014/main" id="{71A640CE-23D6-4E61-BFE8-9618EF42D53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624</xdr:row>
      <xdr:rowOff>0</xdr:rowOff>
    </xdr:from>
    <xdr:to>
      <xdr:col>5</xdr:col>
      <xdr:colOff>83820</xdr:colOff>
      <xdr:row>624</xdr:row>
      <xdr:rowOff>114300</xdr:rowOff>
    </xdr:to>
    <xdr:sp macro="" textlink="">
      <xdr:nvSpPr>
        <xdr:cNvPr id="4679" name="Arrow: Down 4678">
          <a:extLst>
            <a:ext uri="{FF2B5EF4-FFF2-40B4-BE49-F238E27FC236}">
              <a16:creationId xmlns:a16="http://schemas.microsoft.com/office/drawing/2014/main" id="{7710FFCC-102C-4248-95BA-C018760C7355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624</xdr:row>
      <xdr:rowOff>0</xdr:rowOff>
    </xdr:from>
    <xdr:to>
      <xdr:col>11</xdr:col>
      <xdr:colOff>83820</xdr:colOff>
      <xdr:row>624</xdr:row>
      <xdr:rowOff>114300</xdr:rowOff>
    </xdr:to>
    <xdr:sp macro="" textlink="">
      <xdr:nvSpPr>
        <xdr:cNvPr id="4681" name="Arrow: Down 4680">
          <a:extLst>
            <a:ext uri="{FF2B5EF4-FFF2-40B4-BE49-F238E27FC236}">
              <a16:creationId xmlns:a16="http://schemas.microsoft.com/office/drawing/2014/main" id="{CB94BF6C-BF65-46CC-B400-A3BB0DD6F8F4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624</xdr:row>
      <xdr:rowOff>0</xdr:rowOff>
    </xdr:from>
    <xdr:to>
      <xdr:col>24</xdr:col>
      <xdr:colOff>83820</xdr:colOff>
      <xdr:row>624</xdr:row>
      <xdr:rowOff>114300</xdr:rowOff>
    </xdr:to>
    <xdr:sp macro="" textlink="">
      <xdr:nvSpPr>
        <xdr:cNvPr id="4683" name="Arrow: Down 4682">
          <a:extLst>
            <a:ext uri="{FF2B5EF4-FFF2-40B4-BE49-F238E27FC236}">
              <a16:creationId xmlns:a16="http://schemas.microsoft.com/office/drawing/2014/main" id="{A7A9B0A0-F9F2-4A7F-86F9-86BDF297CC2F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624</xdr:row>
      <xdr:rowOff>0</xdr:rowOff>
    </xdr:from>
    <xdr:to>
      <xdr:col>39</xdr:col>
      <xdr:colOff>83820</xdr:colOff>
      <xdr:row>624</xdr:row>
      <xdr:rowOff>114300</xdr:rowOff>
    </xdr:to>
    <xdr:sp macro="" textlink="">
      <xdr:nvSpPr>
        <xdr:cNvPr id="4684" name="Arrow: Down 4683">
          <a:extLst>
            <a:ext uri="{FF2B5EF4-FFF2-40B4-BE49-F238E27FC236}">
              <a16:creationId xmlns:a16="http://schemas.microsoft.com/office/drawing/2014/main" id="{4924B10F-75BB-4135-9DF9-F437BFB0E531}"/>
            </a:ext>
          </a:extLst>
        </xdr:cNvPr>
        <xdr:cNvSpPr/>
      </xdr:nvSpPr>
      <xdr:spPr>
        <a:xfrm>
          <a:off x="11544300" y="11421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625</xdr:row>
      <xdr:rowOff>0</xdr:rowOff>
    </xdr:from>
    <xdr:to>
      <xdr:col>45</xdr:col>
      <xdr:colOff>83820</xdr:colOff>
      <xdr:row>625</xdr:row>
      <xdr:rowOff>114300</xdr:rowOff>
    </xdr:to>
    <xdr:sp macro="" textlink="">
      <xdr:nvSpPr>
        <xdr:cNvPr id="4685" name="Arrow: Down 4684">
          <a:extLst>
            <a:ext uri="{FF2B5EF4-FFF2-40B4-BE49-F238E27FC236}">
              <a16:creationId xmlns:a16="http://schemas.microsoft.com/office/drawing/2014/main" id="{4F7AB734-60B5-4AC0-AE8E-18837E961FAB}"/>
            </a:ext>
          </a:extLst>
        </xdr:cNvPr>
        <xdr:cNvSpPr/>
      </xdr:nvSpPr>
      <xdr:spPr>
        <a:xfrm rot="10800000">
          <a:off x="134035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625</xdr:row>
      <xdr:rowOff>0</xdr:rowOff>
    </xdr:from>
    <xdr:to>
      <xdr:col>71</xdr:col>
      <xdr:colOff>83820</xdr:colOff>
      <xdr:row>625</xdr:row>
      <xdr:rowOff>114300</xdr:rowOff>
    </xdr:to>
    <xdr:sp macro="" textlink="">
      <xdr:nvSpPr>
        <xdr:cNvPr id="4687" name="Arrow: Down 4686">
          <a:extLst>
            <a:ext uri="{FF2B5EF4-FFF2-40B4-BE49-F238E27FC236}">
              <a16:creationId xmlns:a16="http://schemas.microsoft.com/office/drawing/2014/main" id="{B0415306-6AE5-409D-8202-4AAD0FEDDC4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625</xdr:row>
      <xdr:rowOff>0</xdr:rowOff>
    </xdr:from>
    <xdr:to>
      <xdr:col>5</xdr:col>
      <xdr:colOff>83820</xdr:colOff>
      <xdr:row>625</xdr:row>
      <xdr:rowOff>114300</xdr:rowOff>
    </xdr:to>
    <xdr:sp macro="" textlink="">
      <xdr:nvSpPr>
        <xdr:cNvPr id="4688" name="Arrow: Down 4687">
          <a:extLst>
            <a:ext uri="{FF2B5EF4-FFF2-40B4-BE49-F238E27FC236}">
              <a16:creationId xmlns:a16="http://schemas.microsoft.com/office/drawing/2014/main" id="{1D27819D-36D9-4E44-9415-EEA203382197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625</xdr:row>
      <xdr:rowOff>0</xdr:rowOff>
    </xdr:from>
    <xdr:to>
      <xdr:col>11</xdr:col>
      <xdr:colOff>83820</xdr:colOff>
      <xdr:row>625</xdr:row>
      <xdr:rowOff>114300</xdr:rowOff>
    </xdr:to>
    <xdr:sp macro="" textlink="">
      <xdr:nvSpPr>
        <xdr:cNvPr id="4689" name="Arrow: Down 4688">
          <a:extLst>
            <a:ext uri="{FF2B5EF4-FFF2-40B4-BE49-F238E27FC236}">
              <a16:creationId xmlns:a16="http://schemas.microsoft.com/office/drawing/2014/main" id="{95EF3190-3736-4BDE-8448-ED58D6DA6A35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625</xdr:row>
      <xdr:rowOff>0</xdr:rowOff>
    </xdr:from>
    <xdr:to>
      <xdr:col>24</xdr:col>
      <xdr:colOff>83820</xdr:colOff>
      <xdr:row>625</xdr:row>
      <xdr:rowOff>114300</xdr:rowOff>
    </xdr:to>
    <xdr:sp macro="" textlink="">
      <xdr:nvSpPr>
        <xdr:cNvPr id="4690" name="Arrow: Down 4689">
          <a:extLst>
            <a:ext uri="{FF2B5EF4-FFF2-40B4-BE49-F238E27FC236}">
              <a16:creationId xmlns:a16="http://schemas.microsoft.com/office/drawing/2014/main" id="{260B1995-1E35-47AE-A40B-E1655D608C77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625</xdr:row>
      <xdr:rowOff>0</xdr:rowOff>
    </xdr:from>
    <xdr:to>
      <xdr:col>39</xdr:col>
      <xdr:colOff>83820</xdr:colOff>
      <xdr:row>625</xdr:row>
      <xdr:rowOff>114300</xdr:rowOff>
    </xdr:to>
    <xdr:sp macro="" textlink="">
      <xdr:nvSpPr>
        <xdr:cNvPr id="4692" name="Arrow: Down 4691">
          <a:extLst>
            <a:ext uri="{FF2B5EF4-FFF2-40B4-BE49-F238E27FC236}">
              <a16:creationId xmlns:a16="http://schemas.microsoft.com/office/drawing/2014/main" id="{B47EA84C-E334-413E-8F91-FA57D87259BE}"/>
            </a:ext>
          </a:extLst>
        </xdr:cNvPr>
        <xdr:cNvSpPr/>
      </xdr:nvSpPr>
      <xdr:spPr>
        <a:xfrm rot="10800000">
          <a:off x="115443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625</xdr:row>
      <xdr:rowOff>0</xdr:rowOff>
    </xdr:from>
    <xdr:to>
      <xdr:col>60</xdr:col>
      <xdr:colOff>83820</xdr:colOff>
      <xdr:row>625</xdr:row>
      <xdr:rowOff>114300</xdr:rowOff>
    </xdr:to>
    <xdr:sp macro="" textlink="">
      <xdr:nvSpPr>
        <xdr:cNvPr id="4694" name="Arrow: Down 4693">
          <a:extLst>
            <a:ext uri="{FF2B5EF4-FFF2-40B4-BE49-F238E27FC236}">
              <a16:creationId xmlns:a16="http://schemas.microsoft.com/office/drawing/2014/main" id="{7FC24D9E-FC78-48CD-9B4E-ED755004A23D}"/>
            </a:ext>
          </a:extLst>
        </xdr:cNvPr>
        <xdr:cNvSpPr/>
      </xdr:nvSpPr>
      <xdr:spPr>
        <a:xfrm rot="10800000">
          <a:off x="19080480" y="11439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626</xdr:row>
      <xdr:rowOff>0</xdr:rowOff>
    </xdr:from>
    <xdr:to>
      <xdr:col>45</xdr:col>
      <xdr:colOff>83820</xdr:colOff>
      <xdr:row>626</xdr:row>
      <xdr:rowOff>114300</xdr:rowOff>
    </xdr:to>
    <xdr:sp macro="" textlink="">
      <xdr:nvSpPr>
        <xdr:cNvPr id="4695" name="Arrow: Down 4694">
          <a:extLst>
            <a:ext uri="{FF2B5EF4-FFF2-40B4-BE49-F238E27FC236}">
              <a16:creationId xmlns:a16="http://schemas.microsoft.com/office/drawing/2014/main" id="{9204C3F8-70CB-4292-990D-3B9BDBE8321C}"/>
            </a:ext>
          </a:extLst>
        </xdr:cNvPr>
        <xdr:cNvSpPr/>
      </xdr:nvSpPr>
      <xdr:spPr>
        <a:xfrm rot="10800000">
          <a:off x="134035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626</xdr:row>
      <xdr:rowOff>0</xdr:rowOff>
    </xdr:from>
    <xdr:to>
      <xdr:col>5</xdr:col>
      <xdr:colOff>83820</xdr:colOff>
      <xdr:row>626</xdr:row>
      <xdr:rowOff>114300</xdr:rowOff>
    </xdr:to>
    <xdr:sp macro="" textlink="">
      <xdr:nvSpPr>
        <xdr:cNvPr id="4697" name="Arrow: Down 4696">
          <a:extLst>
            <a:ext uri="{FF2B5EF4-FFF2-40B4-BE49-F238E27FC236}">
              <a16:creationId xmlns:a16="http://schemas.microsoft.com/office/drawing/2014/main" id="{2599D2B4-3623-4563-9C40-3D68987D73D4}"/>
            </a:ext>
          </a:extLst>
        </xdr:cNvPr>
        <xdr:cNvSpPr/>
      </xdr:nvSpPr>
      <xdr:spPr>
        <a:xfrm>
          <a:off x="192786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626</xdr:row>
      <xdr:rowOff>0</xdr:rowOff>
    </xdr:from>
    <xdr:to>
      <xdr:col>11</xdr:col>
      <xdr:colOff>83820</xdr:colOff>
      <xdr:row>626</xdr:row>
      <xdr:rowOff>114300</xdr:rowOff>
    </xdr:to>
    <xdr:sp macro="" textlink="">
      <xdr:nvSpPr>
        <xdr:cNvPr id="4698" name="Arrow: Down 4697">
          <a:extLst>
            <a:ext uri="{FF2B5EF4-FFF2-40B4-BE49-F238E27FC236}">
              <a16:creationId xmlns:a16="http://schemas.microsoft.com/office/drawing/2014/main" id="{7A953571-4003-483D-90C3-561578F33CBE}"/>
            </a:ext>
          </a:extLst>
        </xdr:cNvPr>
        <xdr:cNvSpPr/>
      </xdr:nvSpPr>
      <xdr:spPr>
        <a:xfrm>
          <a:off x="36957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626</xdr:row>
      <xdr:rowOff>0</xdr:rowOff>
    </xdr:from>
    <xdr:to>
      <xdr:col>24</xdr:col>
      <xdr:colOff>83820</xdr:colOff>
      <xdr:row>626</xdr:row>
      <xdr:rowOff>114300</xdr:rowOff>
    </xdr:to>
    <xdr:sp macro="" textlink="">
      <xdr:nvSpPr>
        <xdr:cNvPr id="4699" name="Arrow: Down 4698">
          <a:extLst>
            <a:ext uri="{FF2B5EF4-FFF2-40B4-BE49-F238E27FC236}">
              <a16:creationId xmlns:a16="http://schemas.microsoft.com/office/drawing/2014/main" id="{73692313-02E2-4060-BCD2-881B9EAD51F3}"/>
            </a:ext>
          </a:extLst>
        </xdr:cNvPr>
        <xdr:cNvSpPr/>
      </xdr:nvSpPr>
      <xdr:spPr>
        <a:xfrm>
          <a:off x="83362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626</xdr:row>
      <xdr:rowOff>0</xdr:rowOff>
    </xdr:from>
    <xdr:to>
      <xdr:col>60</xdr:col>
      <xdr:colOff>83820</xdr:colOff>
      <xdr:row>626</xdr:row>
      <xdr:rowOff>114300</xdr:rowOff>
    </xdr:to>
    <xdr:sp macro="" textlink="">
      <xdr:nvSpPr>
        <xdr:cNvPr id="4701" name="Arrow: Down 4700">
          <a:extLst>
            <a:ext uri="{FF2B5EF4-FFF2-40B4-BE49-F238E27FC236}">
              <a16:creationId xmlns:a16="http://schemas.microsoft.com/office/drawing/2014/main" id="{645DD83E-5D22-4C4D-86E4-2E4242431E30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626</xdr:row>
      <xdr:rowOff>0</xdr:rowOff>
    </xdr:from>
    <xdr:to>
      <xdr:col>39</xdr:col>
      <xdr:colOff>83820</xdr:colOff>
      <xdr:row>626</xdr:row>
      <xdr:rowOff>114300</xdr:rowOff>
    </xdr:to>
    <xdr:sp macro="" textlink="">
      <xdr:nvSpPr>
        <xdr:cNvPr id="4703" name="Arrow: Down 4702">
          <a:extLst>
            <a:ext uri="{FF2B5EF4-FFF2-40B4-BE49-F238E27FC236}">
              <a16:creationId xmlns:a16="http://schemas.microsoft.com/office/drawing/2014/main" id="{EBA86399-8078-44D3-8BE6-360A394AE259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626</xdr:row>
      <xdr:rowOff>0</xdr:rowOff>
    </xdr:from>
    <xdr:to>
      <xdr:col>71</xdr:col>
      <xdr:colOff>83820</xdr:colOff>
      <xdr:row>626</xdr:row>
      <xdr:rowOff>114300</xdr:rowOff>
    </xdr:to>
    <xdr:sp macro="" textlink="">
      <xdr:nvSpPr>
        <xdr:cNvPr id="4704" name="Arrow: Down 4703">
          <a:extLst>
            <a:ext uri="{FF2B5EF4-FFF2-40B4-BE49-F238E27FC236}">
              <a16:creationId xmlns:a16="http://schemas.microsoft.com/office/drawing/2014/main" id="{B581BC73-D018-4712-A346-ED746D07B719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627</xdr:row>
      <xdr:rowOff>0</xdr:rowOff>
    </xdr:from>
    <xdr:to>
      <xdr:col>45</xdr:col>
      <xdr:colOff>83820</xdr:colOff>
      <xdr:row>627</xdr:row>
      <xdr:rowOff>114300</xdr:rowOff>
    </xdr:to>
    <xdr:sp macro="" textlink="">
      <xdr:nvSpPr>
        <xdr:cNvPr id="4705" name="Arrow: Down 4704">
          <a:extLst>
            <a:ext uri="{FF2B5EF4-FFF2-40B4-BE49-F238E27FC236}">
              <a16:creationId xmlns:a16="http://schemas.microsoft.com/office/drawing/2014/main" id="{F4A89EBB-4BB8-40F7-8602-8BAA9286CE58}"/>
            </a:ext>
          </a:extLst>
        </xdr:cNvPr>
        <xdr:cNvSpPr/>
      </xdr:nvSpPr>
      <xdr:spPr>
        <a:xfrm rot="10800000">
          <a:off x="134035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627</xdr:row>
      <xdr:rowOff>0</xdr:rowOff>
    </xdr:from>
    <xdr:to>
      <xdr:col>5</xdr:col>
      <xdr:colOff>83820</xdr:colOff>
      <xdr:row>627</xdr:row>
      <xdr:rowOff>114300</xdr:rowOff>
    </xdr:to>
    <xdr:sp macro="" textlink="">
      <xdr:nvSpPr>
        <xdr:cNvPr id="4706" name="Arrow: Down 4705">
          <a:extLst>
            <a:ext uri="{FF2B5EF4-FFF2-40B4-BE49-F238E27FC236}">
              <a16:creationId xmlns:a16="http://schemas.microsoft.com/office/drawing/2014/main" id="{7DA41AF9-5A5D-4480-8C0C-0F4901A2F32E}"/>
            </a:ext>
          </a:extLst>
        </xdr:cNvPr>
        <xdr:cNvSpPr/>
      </xdr:nvSpPr>
      <xdr:spPr>
        <a:xfrm>
          <a:off x="192786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627</xdr:row>
      <xdr:rowOff>0</xdr:rowOff>
    </xdr:from>
    <xdr:to>
      <xdr:col>11</xdr:col>
      <xdr:colOff>83820</xdr:colOff>
      <xdr:row>627</xdr:row>
      <xdr:rowOff>114300</xdr:rowOff>
    </xdr:to>
    <xdr:sp macro="" textlink="">
      <xdr:nvSpPr>
        <xdr:cNvPr id="4707" name="Arrow: Down 4706">
          <a:extLst>
            <a:ext uri="{FF2B5EF4-FFF2-40B4-BE49-F238E27FC236}">
              <a16:creationId xmlns:a16="http://schemas.microsoft.com/office/drawing/2014/main" id="{1D396BDA-037E-493D-B744-BD33AD96CE9B}"/>
            </a:ext>
          </a:extLst>
        </xdr:cNvPr>
        <xdr:cNvSpPr/>
      </xdr:nvSpPr>
      <xdr:spPr>
        <a:xfrm>
          <a:off x="369570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627</xdr:row>
      <xdr:rowOff>0</xdr:rowOff>
    </xdr:from>
    <xdr:to>
      <xdr:col>24</xdr:col>
      <xdr:colOff>83820</xdr:colOff>
      <xdr:row>627</xdr:row>
      <xdr:rowOff>114300</xdr:rowOff>
    </xdr:to>
    <xdr:sp macro="" textlink="">
      <xdr:nvSpPr>
        <xdr:cNvPr id="4708" name="Arrow: Down 4707">
          <a:extLst>
            <a:ext uri="{FF2B5EF4-FFF2-40B4-BE49-F238E27FC236}">
              <a16:creationId xmlns:a16="http://schemas.microsoft.com/office/drawing/2014/main" id="{9C71D49B-B658-4A59-B710-1DEE8380F0AB}"/>
            </a:ext>
          </a:extLst>
        </xdr:cNvPr>
        <xdr:cNvSpPr/>
      </xdr:nvSpPr>
      <xdr:spPr>
        <a:xfrm>
          <a:off x="83362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627</xdr:row>
      <xdr:rowOff>0</xdr:rowOff>
    </xdr:from>
    <xdr:to>
      <xdr:col>60</xdr:col>
      <xdr:colOff>83820</xdr:colOff>
      <xdr:row>627</xdr:row>
      <xdr:rowOff>114300</xdr:rowOff>
    </xdr:to>
    <xdr:sp macro="" textlink="">
      <xdr:nvSpPr>
        <xdr:cNvPr id="4709" name="Arrow: Down 4708">
          <a:extLst>
            <a:ext uri="{FF2B5EF4-FFF2-40B4-BE49-F238E27FC236}">
              <a16:creationId xmlns:a16="http://schemas.microsoft.com/office/drawing/2014/main" id="{ABFC202F-756B-43AC-92E8-DD1214F0D8B3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627</xdr:row>
      <xdr:rowOff>0</xdr:rowOff>
    </xdr:from>
    <xdr:to>
      <xdr:col>39</xdr:col>
      <xdr:colOff>83820</xdr:colOff>
      <xdr:row>627</xdr:row>
      <xdr:rowOff>114300</xdr:rowOff>
    </xdr:to>
    <xdr:sp macro="" textlink="">
      <xdr:nvSpPr>
        <xdr:cNvPr id="4710" name="Arrow: Down 4709">
          <a:extLst>
            <a:ext uri="{FF2B5EF4-FFF2-40B4-BE49-F238E27FC236}">
              <a16:creationId xmlns:a16="http://schemas.microsoft.com/office/drawing/2014/main" id="{B025D0FB-754A-40A3-92A1-BFCF22164135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627</xdr:row>
      <xdr:rowOff>0</xdr:rowOff>
    </xdr:from>
    <xdr:to>
      <xdr:col>71</xdr:col>
      <xdr:colOff>83820</xdr:colOff>
      <xdr:row>627</xdr:row>
      <xdr:rowOff>114300</xdr:rowOff>
    </xdr:to>
    <xdr:sp macro="" textlink="">
      <xdr:nvSpPr>
        <xdr:cNvPr id="4711" name="Arrow: Down 4710">
          <a:extLst>
            <a:ext uri="{FF2B5EF4-FFF2-40B4-BE49-F238E27FC236}">
              <a16:creationId xmlns:a16="http://schemas.microsoft.com/office/drawing/2014/main" id="{0A979B96-09BD-4BB8-AB16-49691B536D98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628</xdr:row>
      <xdr:rowOff>0</xdr:rowOff>
    </xdr:from>
    <xdr:to>
      <xdr:col>45</xdr:col>
      <xdr:colOff>83820</xdr:colOff>
      <xdr:row>628</xdr:row>
      <xdr:rowOff>114300</xdr:rowOff>
    </xdr:to>
    <xdr:sp macro="" textlink="">
      <xdr:nvSpPr>
        <xdr:cNvPr id="4719" name="Arrow: Down 4718">
          <a:extLst>
            <a:ext uri="{FF2B5EF4-FFF2-40B4-BE49-F238E27FC236}">
              <a16:creationId xmlns:a16="http://schemas.microsoft.com/office/drawing/2014/main" id="{0E5DCA1A-31A2-474C-8DAF-E304E534367B}"/>
            </a:ext>
          </a:extLst>
        </xdr:cNvPr>
        <xdr:cNvSpPr/>
      </xdr:nvSpPr>
      <xdr:spPr>
        <a:xfrm rot="10800000">
          <a:off x="13403580" y="11476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629</xdr:row>
      <xdr:rowOff>0</xdr:rowOff>
    </xdr:from>
    <xdr:to>
      <xdr:col>45</xdr:col>
      <xdr:colOff>83820</xdr:colOff>
      <xdr:row>629</xdr:row>
      <xdr:rowOff>114300</xdr:rowOff>
    </xdr:to>
    <xdr:sp macro="" textlink="">
      <xdr:nvSpPr>
        <xdr:cNvPr id="4733" name="Arrow: Down 4732">
          <a:extLst>
            <a:ext uri="{FF2B5EF4-FFF2-40B4-BE49-F238E27FC236}">
              <a16:creationId xmlns:a16="http://schemas.microsoft.com/office/drawing/2014/main" id="{4F4A96D6-4139-466E-AF6A-C349EA11371D}"/>
            </a:ext>
          </a:extLst>
        </xdr:cNvPr>
        <xdr:cNvSpPr/>
      </xdr:nvSpPr>
      <xdr:spPr>
        <a:xfrm rot="10800000">
          <a:off x="134035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629</xdr:row>
      <xdr:rowOff>0</xdr:rowOff>
    </xdr:from>
    <xdr:to>
      <xdr:col>60</xdr:col>
      <xdr:colOff>83820</xdr:colOff>
      <xdr:row>629</xdr:row>
      <xdr:rowOff>114300</xdr:rowOff>
    </xdr:to>
    <xdr:sp macro="" textlink="">
      <xdr:nvSpPr>
        <xdr:cNvPr id="4737" name="Arrow: Down 4736">
          <a:extLst>
            <a:ext uri="{FF2B5EF4-FFF2-40B4-BE49-F238E27FC236}">
              <a16:creationId xmlns:a16="http://schemas.microsoft.com/office/drawing/2014/main" id="{B43AA435-FAAF-4BD6-AE32-30E83C48D564}"/>
            </a:ext>
          </a:extLst>
        </xdr:cNvPr>
        <xdr:cNvSpPr/>
      </xdr:nvSpPr>
      <xdr:spPr>
        <a:xfrm rot="10800000">
          <a:off x="190804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629</xdr:row>
      <xdr:rowOff>0</xdr:rowOff>
    </xdr:from>
    <xdr:to>
      <xdr:col>39</xdr:col>
      <xdr:colOff>83820</xdr:colOff>
      <xdr:row>629</xdr:row>
      <xdr:rowOff>114300</xdr:rowOff>
    </xdr:to>
    <xdr:sp macro="" textlink="">
      <xdr:nvSpPr>
        <xdr:cNvPr id="4738" name="Arrow: Down 4737">
          <a:extLst>
            <a:ext uri="{FF2B5EF4-FFF2-40B4-BE49-F238E27FC236}">
              <a16:creationId xmlns:a16="http://schemas.microsoft.com/office/drawing/2014/main" id="{9A6DC83C-46E3-421A-A30B-CD81BC32FD30}"/>
            </a:ext>
          </a:extLst>
        </xdr:cNvPr>
        <xdr:cNvSpPr/>
      </xdr:nvSpPr>
      <xdr:spPr>
        <a:xfrm>
          <a:off x="115443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629</xdr:row>
      <xdr:rowOff>0</xdr:rowOff>
    </xdr:from>
    <xdr:to>
      <xdr:col>71</xdr:col>
      <xdr:colOff>83820</xdr:colOff>
      <xdr:row>629</xdr:row>
      <xdr:rowOff>114300</xdr:rowOff>
    </xdr:to>
    <xdr:sp macro="" textlink="">
      <xdr:nvSpPr>
        <xdr:cNvPr id="4739" name="Arrow: Down 4738">
          <a:extLst>
            <a:ext uri="{FF2B5EF4-FFF2-40B4-BE49-F238E27FC236}">
              <a16:creationId xmlns:a16="http://schemas.microsoft.com/office/drawing/2014/main" id="{D23BE264-9C70-4455-BD4E-E4D90F557EC8}"/>
            </a:ext>
          </a:extLst>
        </xdr:cNvPr>
        <xdr:cNvSpPr/>
      </xdr:nvSpPr>
      <xdr:spPr>
        <a:xfrm rot="10800000">
          <a:off x="2180082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628</xdr:row>
      <xdr:rowOff>0</xdr:rowOff>
    </xdr:from>
    <xdr:to>
      <xdr:col>60</xdr:col>
      <xdr:colOff>83820</xdr:colOff>
      <xdr:row>628</xdr:row>
      <xdr:rowOff>114300</xdr:rowOff>
    </xdr:to>
    <xdr:sp macro="" textlink="">
      <xdr:nvSpPr>
        <xdr:cNvPr id="4741" name="Arrow: Down 4740">
          <a:extLst>
            <a:ext uri="{FF2B5EF4-FFF2-40B4-BE49-F238E27FC236}">
              <a16:creationId xmlns:a16="http://schemas.microsoft.com/office/drawing/2014/main" id="{FBEE8285-A436-4187-8C09-0E4696A40E14}"/>
            </a:ext>
          </a:extLst>
        </xdr:cNvPr>
        <xdr:cNvSpPr/>
      </xdr:nvSpPr>
      <xdr:spPr>
        <a:xfrm>
          <a:off x="190804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628</xdr:row>
      <xdr:rowOff>0</xdr:rowOff>
    </xdr:from>
    <xdr:to>
      <xdr:col>71</xdr:col>
      <xdr:colOff>83820</xdr:colOff>
      <xdr:row>628</xdr:row>
      <xdr:rowOff>114300</xdr:rowOff>
    </xdr:to>
    <xdr:sp macro="" textlink="">
      <xdr:nvSpPr>
        <xdr:cNvPr id="4742" name="Arrow: Down 4741">
          <a:extLst>
            <a:ext uri="{FF2B5EF4-FFF2-40B4-BE49-F238E27FC236}">
              <a16:creationId xmlns:a16="http://schemas.microsoft.com/office/drawing/2014/main" id="{F76115C6-A3C3-43FF-9033-A6BFD8D8F304}"/>
            </a:ext>
          </a:extLst>
        </xdr:cNvPr>
        <xdr:cNvSpPr/>
      </xdr:nvSpPr>
      <xdr:spPr>
        <a:xfrm>
          <a:off x="2180082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628</xdr:row>
      <xdr:rowOff>0</xdr:rowOff>
    </xdr:from>
    <xdr:to>
      <xdr:col>24</xdr:col>
      <xdr:colOff>83820</xdr:colOff>
      <xdr:row>628</xdr:row>
      <xdr:rowOff>114300</xdr:rowOff>
    </xdr:to>
    <xdr:sp macro="" textlink="">
      <xdr:nvSpPr>
        <xdr:cNvPr id="4743" name="Arrow: Down 4742">
          <a:extLst>
            <a:ext uri="{FF2B5EF4-FFF2-40B4-BE49-F238E27FC236}">
              <a16:creationId xmlns:a16="http://schemas.microsoft.com/office/drawing/2014/main" id="{DCBEE91E-8149-46BB-AC42-7E645D143774}"/>
            </a:ext>
          </a:extLst>
        </xdr:cNvPr>
        <xdr:cNvSpPr/>
      </xdr:nvSpPr>
      <xdr:spPr>
        <a:xfrm rot="10800000">
          <a:off x="83362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629</xdr:row>
      <xdr:rowOff>0</xdr:rowOff>
    </xdr:from>
    <xdr:to>
      <xdr:col>24</xdr:col>
      <xdr:colOff>83820</xdr:colOff>
      <xdr:row>629</xdr:row>
      <xdr:rowOff>114300</xdr:rowOff>
    </xdr:to>
    <xdr:sp macro="" textlink="">
      <xdr:nvSpPr>
        <xdr:cNvPr id="4745" name="Arrow: Down 4744">
          <a:extLst>
            <a:ext uri="{FF2B5EF4-FFF2-40B4-BE49-F238E27FC236}">
              <a16:creationId xmlns:a16="http://schemas.microsoft.com/office/drawing/2014/main" id="{A45A3572-2359-4A42-B448-1985F2CFAF34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628</xdr:row>
      <xdr:rowOff>0</xdr:rowOff>
    </xdr:from>
    <xdr:to>
      <xdr:col>5</xdr:col>
      <xdr:colOff>83820</xdr:colOff>
      <xdr:row>628</xdr:row>
      <xdr:rowOff>114300</xdr:rowOff>
    </xdr:to>
    <xdr:sp macro="" textlink="">
      <xdr:nvSpPr>
        <xdr:cNvPr id="4746" name="Arrow: Down 4745">
          <a:extLst>
            <a:ext uri="{FF2B5EF4-FFF2-40B4-BE49-F238E27FC236}">
              <a16:creationId xmlns:a16="http://schemas.microsoft.com/office/drawing/2014/main" id="{B27A8278-7D58-483A-BEBB-8433E335713B}"/>
            </a:ext>
          </a:extLst>
        </xdr:cNvPr>
        <xdr:cNvSpPr/>
      </xdr:nvSpPr>
      <xdr:spPr>
        <a:xfrm rot="10800000">
          <a:off x="192786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629</xdr:row>
      <xdr:rowOff>0</xdr:rowOff>
    </xdr:from>
    <xdr:to>
      <xdr:col>11</xdr:col>
      <xdr:colOff>83820</xdr:colOff>
      <xdr:row>629</xdr:row>
      <xdr:rowOff>114300</xdr:rowOff>
    </xdr:to>
    <xdr:sp macro="" textlink="">
      <xdr:nvSpPr>
        <xdr:cNvPr id="4747" name="Arrow: Down 4746">
          <a:extLst>
            <a:ext uri="{FF2B5EF4-FFF2-40B4-BE49-F238E27FC236}">
              <a16:creationId xmlns:a16="http://schemas.microsoft.com/office/drawing/2014/main" id="{0E9B693E-4F0F-4A3F-AD8E-9E193CAB1DEE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629</xdr:row>
      <xdr:rowOff>0</xdr:rowOff>
    </xdr:from>
    <xdr:to>
      <xdr:col>5</xdr:col>
      <xdr:colOff>83820</xdr:colOff>
      <xdr:row>629</xdr:row>
      <xdr:rowOff>114300</xdr:rowOff>
    </xdr:to>
    <xdr:sp macro="" textlink="">
      <xdr:nvSpPr>
        <xdr:cNvPr id="4748" name="Arrow: Down 4747">
          <a:extLst>
            <a:ext uri="{FF2B5EF4-FFF2-40B4-BE49-F238E27FC236}">
              <a16:creationId xmlns:a16="http://schemas.microsoft.com/office/drawing/2014/main" id="{4BF8AA2E-7495-4512-B9AA-88CA8E3B64D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628</xdr:row>
      <xdr:rowOff>0</xdr:rowOff>
    </xdr:from>
    <xdr:to>
      <xdr:col>11</xdr:col>
      <xdr:colOff>83820</xdr:colOff>
      <xdr:row>628</xdr:row>
      <xdr:rowOff>114300</xdr:rowOff>
    </xdr:to>
    <xdr:sp macro="" textlink="">
      <xdr:nvSpPr>
        <xdr:cNvPr id="4749" name="Arrow: Down 4748">
          <a:extLst>
            <a:ext uri="{FF2B5EF4-FFF2-40B4-BE49-F238E27FC236}">
              <a16:creationId xmlns:a16="http://schemas.microsoft.com/office/drawing/2014/main" id="{364EF2DE-33CA-4ED9-83C1-8CE9ACE953D3}"/>
            </a:ext>
          </a:extLst>
        </xdr:cNvPr>
        <xdr:cNvSpPr/>
      </xdr:nvSpPr>
      <xdr:spPr>
        <a:xfrm rot="10800000">
          <a:off x="36957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630</xdr:row>
      <xdr:rowOff>0</xdr:rowOff>
    </xdr:from>
    <xdr:to>
      <xdr:col>45</xdr:col>
      <xdr:colOff>83820</xdr:colOff>
      <xdr:row>630</xdr:row>
      <xdr:rowOff>114300</xdr:rowOff>
    </xdr:to>
    <xdr:sp macro="" textlink="">
      <xdr:nvSpPr>
        <xdr:cNvPr id="4757" name="Arrow: Down 4756">
          <a:extLst>
            <a:ext uri="{FF2B5EF4-FFF2-40B4-BE49-F238E27FC236}">
              <a16:creationId xmlns:a16="http://schemas.microsoft.com/office/drawing/2014/main" id="{0F2C7439-3DBF-47A9-A7F3-A4F94CF55A7F}"/>
            </a:ext>
          </a:extLst>
        </xdr:cNvPr>
        <xdr:cNvSpPr/>
      </xdr:nvSpPr>
      <xdr:spPr>
        <a:xfrm rot="10800000">
          <a:off x="13403580" y="11513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630</xdr:row>
      <xdr:rowOff>0</xdr:rowOff>
    </xdr:from>
    <xdr:to>
      <xdr:col>71</xdr:col>
      <xdr:colOff>83820</xdr:colOff>
      <xdr:row>630</xdr:row>
      <xdr:rowOff>114300</xdr:rowOff>
    </xdr:to>
    <xdr:sp macro="" textlink="">
      <xdr:nvSpPr>
        <xdr:cNvPr id="4760" name="Arrow: Down 4759">
          <a:extLst>
            <a:ext uri="{FF2B5EF4-FFF2-40B4-BE49-F238E27FC236}">
              <a16:creationId xmlns:a16="http://schemas.microsoft.com/office/drawing/2014/main" id="{35A5F5A8-6A69-4792-A812-009AD29FEB61}"/>
            </a:ext>
          </a:extLst>
        </xdr:cNvPr>
        <xdr:cNvSpPr/>
      </xdr:nvSpPr>
      <xdr:spPr>
        <a:xfrm rot="10800000">
          <a:off x="2180082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630</xdr:row>
      <xdr:rowOff>0</xdr:rowOff>
    </xdr:from>
    <xdr:to>
      <xdr:col>24</xdr:col>
      <xdr:colOff>83820</xdr:colOff>
      <xdr:row>630</xdr:row>
      <xdr:rowOff>114300</xdr:rowOff>
    </xdr:to>
    <xdr:sp macro="" textlink="">
      <xdr:nvSpPr>
        <xdr:cNvPr id="4761" name="Arrow: Down 4760">
          <a:extLst>
            <a:ext uri="{FF2B5EF4-FFF2-40B4-BE49-F238E27FC236}">
              <a16:creationId xmlns:a16="http://schemas.microsoft.com/office/drawing/2014/main" id="{E28E830B-7FF0-4763-AFD6-C62DBA7A0300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630</xdr:row>
      <xdr:rowOff>0</xdr:rowOff>
    </xdr:from>
    <xdr:to>
      <xdr:col>11</xdr:col>
      <xdr:colOff>83820</xdr:colOff>
      <xdr:row>630</xdr:row>
      <xdr:rowOff>114300</xdr:rowOff>
    </xdr:to>
    <xdr:sp macro="" textlink="">
      <xdr:nvSpPr>
        <xdr:cNvPr id="4762" name="Arrow: Down 4761">
          <a:extLst>
            <a:ext uri="{FF2B5EF4-FFF2-40B4-BE49-F238E27FC236}">
              <a16:creationId xmlns:a16="http://schemas.microsoft.com/office/drawing/2014/main" id="{146998FC-26E6-4721-A22B-A2F065458432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83820</xdr:colOff>
      <xdr:row>630</xdr:row>
      <xdr:rowOff>114300</xdr:rowOff>
    </xdr:to>
    <xdr:sp macro="" textlink="">
      <xdr:nvSpPr>
        <xdr:cNvPr id="4763" name="Arrow: Down 4762">
          <a:extLst>
            <a:ext uri="{FF2B5EF4-FFF2-40B4-BE49-F238E27FC236}">
              <a16:creationId xmlns:a16="http://schemas.microsoft.com/office/drawing/2014/main" id="{A23A620E-2783-4809-9B2A-42E3F06FAF7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630</xdr:row>
      <xdr:rowOff>0</xdr:rowOff>
    </xdr:from>
    <xdr:to>
      <xdr:col>39</xdr:col>
      <xdr:colOff>83820</xdr:colOff>
      <xdr:row>630</xdr:row>
      <xdr:rowOff>114300</xdr:rowOff>
    </xdr:to>
    <xdr:sp macro="" textlink="">
      <xdr:nvSpPr>
        <xdr:cNvPr id="4764" name="Arrow: Down 4763">
          <a:extLst>
            <a:ext uri="{FF2B5EF4-FFF2-40B4-BE49-F238E27FC236}">
              <a16:creationId xmlns:a16="http://schemas.microsoft.com/office/drawing/2014/main" id="{0F1163F3-226E-4713-800B-458DCE6BBD01}"/>
            </a:ext>
          </a:extLst>
        </xdr:cNvPr>
        <xdr:cNvSpPr/>
      </xdr:nvSpPr>
      <xdr:spPr>
        <a:xfrm rot="10800000">
          <a:off x="1154430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628</xdr:row>
      <xdr:rowOff>22860</xdr:rowOff>
    </xdr:from>
    <xdr:to>
      <xdr:col>39</xdr:col>
      <xdr:colOff>83820</xdr:colOff>
      <xdr:row>628</xdr:row>
      <xdr:rowOff>137160</xdr:rowOff>
    </xdr:to>
    <xdr:sp macro="" textlink="">
      <xdr:nvSpPr>
        <xdr:cNvPr id="4765" name="Arrow: Down 4764">
          <a:extLst>
            <a:ext uri="{FF2B5EF4-FFF2-40B4-BE49-F238E27FC236}">
              <a16:creationId xmlns:a16="http://schemas.microsoft.com/office/drawing/2014/main" id="{B4C1EC52-3371-49D8-B656-9DB49C3935BB}"/>
            </a:ext>
          </a:extLst>
        </xdr:cNvPr>
        <xdr:cNvSpPr/>
      </xdr:nvSpPr>
      <xdr:spPr>
        <a:xfrm rot="10800000">
          <a:off x="11544300" y="1149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630</xdr:row>
      <xdr:rowOff>0</xdr:rowOff>
    </xdr:from>
    <xdr:to>
      <xdr:col>60</xdr:col>
      <xdr:colOff>83820</xdr:colOff>
      <xdr:row>630</xdr:row>
      <xdr:rowOff>114300</xdr:rowOff>
    </xdr:to>
    <xdr:sp macro="" textlink="">
      <xdr:nvSpPr>
        <xdr:cNvPr id="4766" name="Arrow: Down 4765">
          <a:extLst>
            <a:ext uri="{FF2B5EF4-FFF2-40B4-BE49-F238E27FC236}">
              <a16:creationId xmlns:a16="http://schemas.microsoft.com/office/drawing/2014/main" id="{137AADA4-8AFE-40A0-B39C-8C169CAE5792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631</xdr:row>
      <xdr:rowOff>0</xdr:rowOff>
    </xdr:from>
    <xdr:to>
      <xdr:col>71</xdr:col>
      <xdr:colOff>83820</xdr:colOff>
      <xdr:row>631</xdr:row>
      <xdr:rowOff>114300</xdr:rowOff>
    </xdr:to>
    <xdr:sp macro="" textlink="">
      <xdr:nvSpPr>
        <xdr:cNvPr id="4768" name="Arrow: Down 4767">
          <a:extLst>
            <a:ext uri="{FF2B5EF4-FFF2-40B4-BE49-F238E27FC236}">
              <a16:creationId xmlns:a16="http://schemas.microsoft.com/office/drawing/2014/main" id="{15872DA3-A3D2-4B28-8C3F-12513B403FDD}"/>
            </a:ext>
          </a:extLst>
        </xdr:cNvPr>
        <xdr:cNvSpPr/>
      </xdr:nvSpPr>
      <xdr:spPr>
        <a:xfrm rot="10800000">
          <a:off x="2180082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631</xdr:row>
      <xdr:rowOff>0</xdr:rowOff>
    </xdr:from>
    <xdr:to>
      <xdr:col>24</xdr:col>
      <xdr:colOff>83820</xdr:colOff>
      <xdr:row>631</xdr:row>
      <xdr:rowOff>114300</xdr:rowOff>
    </xdr:to>
    <xdr:sp macro="" textlink="">
      <xdr:nvSpPr>
        <xdr:cNvPr id="4769" name="Arrow: Down 4768">
          <a:extLst>
            <a:ext uri="{FF2B5EF4-FFF2-40B4-BE49-F238E27FC236}">
              <a16:creationId xmlns:a16="http://schemas.microsoft.com/office/drawing/2014/main" id="{745E2994-6EB7-4B93-9704-DA2653D973B6}"/>
            </a:ext>
          </a:extLst>
        </xdr:cNvPr>
        <xdr:cNvSpPr/>
      </xdr:nvSpPr>
      <xdr:spPr>
        <a:xfrm rot="10800000">
          <a:off x="833628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631</xdr:row>
      <xdr:rowOff>0</xdr:rowOff>
    </xdr:from>
    <xdr:to>
      <xdr:col>11</xdr:col>
      <xdr:colOff>83820</xdr:colOff>
      <xdr:row>631</xdr:row>
      <xdr:rowOff>114300</xdr:rowOff>
    </xdr:to>
    <xdr:sp macro="" textlink="">
      <xdr:nvSpPr>
        <xdr:cNvPr id="4770" name="Arrow: Down 4769">
          <a:extLst>
            <a:ext uri="{FF2B5EF4-FFF2-40B4-BE49-F238E27FC236}">
              <a16:creationId xmlns:a16="http://schemas.microsoft.com/office/drawing/2014/main" id="{2D287D43-E6AF-410E-BA29-864E28FF99CE}"/>
            </a:ext>
          </a:extLst>
        </xdr:cNvPr>
        <xdr:cNvSpPr/>
      </xdr:nvSpPr>
      <xdr:spPr>
        <a:xfrm rot="10800000">
          <a:off x="369570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631</xdr:row>
      <xdr:rowOff>0</xdr:rowOff>
    </xdr:from>
    <xdr:to>
      <xdr:col>5</xdr:col>
      <xdr:colOff>83820</xdr:colOff>
      <xdr:row>631</xdr:row>
      <xdr:rowOff>114300</xdr:rowOff>
    </xdr:to>
    <xdr:sp macro="" textlink="">
      <xdr:nvSpPr>
        <xdr:cNvPr id="4771" name="Arrow: Down 4770">
          <a:extLst>
            <a:ext uri="{FF2B5EF4-FFF2-40B4-BE49-F238E27FC236}">
              <a16:creationId xmlns:a16="http://schemas.microsoft.com/office/drawing/2014/main" id="{AB9C07E9-AC68-43EB-8546-38D5B224537C}"/>
            </a:ext>
          </a:extLst>
        </xdr:cNvPr>
        <xdr:cNvSpPr/>
      </xdr:nvSpPr>
      <xdr:spPr>
        <a:xfrm rot="10800000">
          <a:off x="192786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631</xdr:row>
      <xdr:rowOff>0</xdr:rowOff>
    </xdr:from>
    <xdr:to>
      <xdr:col>60</xdr:col>
      <xdr:colOff>83820</xdr:colOff>
      <xdr:row>631</xdr:row>
      <xdr:rowOff>114300</xdr:rowOff>
    </xdr:to>
    <xdr:sp macro="" textlink="">
      <xdr:nvSpPr>
        <xdr:cNvPr id="4773" name="Arrow: Down 4772">
          <a:extLst>
            <a:ext uri="{FF2B5EF4-FFF2-40B4-BE49-F238E27FC236}">
              <a16:creationId xmlns:a16="http://schemas.microsoft.com/office/drawing/2014/main" id="{BA4BFF33-42C5-4E37-8759-8D8904CE64D8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631</xdr:row>
      <xdr:rowOff>0</xdr:rowOff>
    </xdr:from>
    <xdr:to>
      <xdr:col>45</xdr:col>
      <xdr:colOff>83820</xdr:colOff>
      <xdr:row>631</xdr:row>
      <xdr:rowOff>114300</xdr:rowOff>
    </xdr:to>
    <xdr:sp macro="" textlink="">
      <xdr:nvSpPr>
        <xdr:cNvPr id="4775" name="Arrow: Down 4774">
          <a:extLst>
            <a:ext uri="{FF2B5EF4-FFF2-40B4-BE49-F238E27FC236}">
              <a16:creationId xmlns:a16="http://schemas.microsoft.com/office/drawing/2014/main" id="{278856AA-56C1-40F0-B9FD-5F25C19DAACB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631</xdr:row>
      <xdr:rowOff>0</xdr:rowOff>
    </xdr:from>
    <xdr:to>
      <xdr:col>39</xdr:col>
      <xdr:colOff>83820</xdr:colOff>
      <xdr:row>631</xdr:row>
      <xdr:rowOff>114300</xdr:rowOff>
    </xdr:to>
    <xdr:sp macro="" textlink="">
      <xdr:nvSpPr>
        <xdr:cNvPr id="4776" name="Arrow: Down 4775">
          <a:extLst>
            <a:ext uri="{FF2B5EF4-FFF2-40B4-BE49-F238E27FC236}">
              <a16:creationId xmlns:a16="http://schemas.microsoft.com/office/drawing/2014/main" id="{5E1F98CF-EA81-4702-B632-0458E9F182D9}"/>
            </a:ext>
          </a:extLst>
        </xdr:cNvPr>
        <xdr:cNvSpPr/>
      </xdr:nvSpPr>
      <xdr:spPr>
        <a:xfrm>
          <a:off x="115443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632</xdr:row>
      <xdr:rowOff>0</xdr:rowOff>
    </xdr:from>
    <xdr:to>
      <xdr:col>71</xdr:col>
      <xdr:colOff>83820</xdr:colOff>
      <xdr:row>632</xdr:row>
      <xdr:rowOff>114300</xdr:rowOff>
    </xdr:to>
    <xdr:sp macro="" textlink="">
      <xdr:nvSpPr>
        <xdr:cNvPr id="4777" name="Arrow: Down 4776">
          <a:extLst>
            <a:ext uri="{FF2B5EF4-FFF2-40B4-BE49-F238E27FC236}">
              <a16:creationId xmlns:a16="http://schemas.microsoft.com/office/drawing/2014/main" id="{5B051944-084A-4011-B186-1955400AF3CB}"/>
            </a:ext>
          </a:extLst>
        </xdr:cNvPr>
        <xdr:cNvSpPr/>
      </xdr:nvSpPr>
      <xdr:spPr>
        <a:xfrm rot="10800000">
          <a:off x="2180082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632</xdr:row>
      <xdr:rowOff>0</xdr:rowOff>
    </xdr:from>
    <xdr:to>
      <xdr:col>11</xdr:col>
      <xdr:colOff>83820</xdr:colOff>
      <xdr:row>632</xdr:row>
      <xdr:rowOff>114300</xdr:rowOff>
    </xdr:to>
    <xdr:sp macro="" textlink="">
      <xdr:nvSpPr>
        <xdr:cNvPr id="4779" name="Arrow: Down 4778">
          <a:extLst>
            <a:ext uri="{FF2B5EF4-FFF2-40B4-BE49-F238E27FC236}">
              <a16:creationId xmlns:a16="http://schemas.microsoft.com/office/drawing/2014/main" id="{05B250A2-0BD6-46F2-8626-093C83DB28B1}"/>
            </a:ext>
          </a:extLst>
        </xdr:cNvPr>
        <xdr:cNvSpPr/>
      </xdr:nvSpPr>
      <xdr:spPr>
        <a:xfrm rot="10800000">
          <a:off x="36957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632</xdr:row>
      <xdr:rowOff>0</xdr:rowOff>
    </xdr:from>
    <xdr:to>
      <xdr:col>5</xdr:col>
      <xdr:colOff>83820</xdr:colOff>
      <xdr:row>632</xdr:row>
      <xdr:rowOff>114300</xdr:rowOff>
    </xdr:to>
    <xdr:sp macro="" textlink="">
      <xdr:nvSpPr>
        <xdr:cNvPr id="4780" name="Arrow: Down 4779">
          <a:extLst>
            <a:ext uri="{FF2B5EF4-FFF2-40B4-BE49-F238E27FC236}">
              <a16:creationId xmlns:a16="http://schemas.microsoft.com/office/drawing/2014/main" id="{6C0C900F-1104-465E-A8DD-26060419AB87}"/>
            </a:ext>
          </a:extLst>
        </xdr:cNvPr>
        <xdr:cNvSpPr/>
      </xdr:nvSpPr>
      <xdr:spPr>
        <a:xfrm rot="10800000">
          <a:off x="192786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632</xdr:row>
      <xdr:rowOff>0</xdr:rowOff>
    </xdr:from>
    <xdr:to>
      <xdr:col>60</xdr:col>
      <xdr:colOff>83820</xdr:colOff>
      <xdr:row>632</xdr:row>
      <xdr:rowOff>114300</xdr:rowOff>
    </xdr:to>
    <xdr:sp macro="" textlink="">
      <xdr:nvSpPr>
        <xdr:cNvPr id="4781" name="Arrow: Down 4780">
          <a:extLst>
            <a:ext uri="{FF2B5EF4-FFF2-40B4-BE49-F238E27FC236}">
              <a16:creationId xmlns:a16="http://schemas.microsoft.com/office/drawing/2014/main" id="{B6A6527E-9475-461F-BF2F-62A25988DC3B}"/>
            </a:ext>
          </a:extLst>
        </xdr:cNvPr>
        <xdr:cNvSpPr/>
      </xdr:nvSpPr>
      <xdr:spPr>
        <a:xfrm>
          <a:off x="19080480" y="11549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632</xdr:row>
      <xdr:rowOff>0</xdr:rowOff>
    </xdr:from>
    <xdr:to>
      <xdr:col>45</xdr:col>
      <xdr:colOff>83820</xdr:colOff>
      <xdr:row>632</xdr:row>
      <xdr:rowOff>114300</xdr:rowOff>
    </xdr:to>
    <xdr:sp macro="" textlink="">
      <xdr:nvSpPr>
        <xdr:cNvPr id="4782" name="Arrow: Down 4781">
          <a:extLst>
            <a:ext uri="{FF2B5EF4-FFF2-40B4-BE49-F238E27FC236}">
              <a16:creationId xmlns:a16="http://schemas.microsoft.com/office/drawing/2014/main" id="{C1E1B500-87E1-4D85-BCC9-4705A2BD265F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632</xdr:row>
      <xdr:rowOff>0</xdr:rowOff>
    </xdr:from>
    <xdr:to>
      <xdr:col>24</xdr:col>
      <xdr:colOff>83820</xdr:colOff>
      <xdr:row>632</xdr:row>
      <xdr:rowOff>114300</xdr:rowOff>
    </xdr:to>
    <xdr:sp macro="" textlink="">
      <xdr:nvSpPr>
        <xdr:cNvPr id="4784" name="Arrow: Down 4783">
          <a:extLst>
            <a:ext uri="{FF2B5EF4-FFF2-40B4-BE49-F238E27FC236}">
              <a16:creationId xmlns:a16="http://schemas.microsoft.com/office/drawing/2014/main" id="{542D765B-914D-4DF8-990A-600276F4D0A2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632</xdr:row>
      <xdr:rowOff>0</xdr:rowOff>
    </xdr:from>
    <xdr:to>
      <xdr:col>39</xdr:col>
      <xdr:colOff>83820</xdr:colOff>
      <xdr:row>632</xdr:row>
      <xdr:rowOff>114300</xdr:rowOff>
    </xdr:to>
    <xdr:sp macro="" textlink="">
      <xdr:nvSpPr>
        <xdr:cNvPr id="4785" name="Arrow: Down 4784">
          <a:extLst>
            <a:ext uri="{FF2B5EF4-FFF2-40B4-BE49-F238E27FC236}">
              <a16:creationId xmlns:a16="http://schemas.microsoft.com/office/drawing/2014/main" id="{FD5CC9E8-B156-4BF8-A859-50B03CFE8751}"/>
            </a:ext>
          </a:extLst>
        </xdr:cNvPr>
        <xdr:cNvSpPr/>
      </xdr:nvSpPr>
      <xdr:spPr>
        <a:xfrm rot="10800000">
          <a:off x="1154430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633</xdr:row>
      <xdr:rowOff>0</xdr:rowOff>
    </xdr:from>
    <xdr:to>
      <xdr:col>71</xdr:col>
      <xdr:colOff>83820</xdr:colOff>
      <xdr:row>633</xdr:row>
      <xdr:rowOff>114300</xdr:rowOff>
    </xdr:to>
    <xdr:sp macro="" textlink="">
      <xdr:nvSpPr>
        <xdr:cNvPr id="4786" name="Arrow: Down 4785">
          <a:extLst>
            <a:ext uri="{FF2B5EF4-FFF2-40B4-BE49-F238E27FC236}">
              <a16:creationId xmlns:a16="http://schemas.microsoft.com/office/drawing/2014/main" id="{554446E2-E56F-4EC5-A6D3-F4B73AFCFE55}"/>
            </a:ext>
          </a:extLst>
        </xdr:cNvPr>
        <xdr:cNvSpPr/>
      </xdr:nvSpPr>
      <xdr:spPr>
        <a:xfrm rot="10800000">
          <a:off x="2180082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633</xdr:row>
      <xdr:rowOff>0</xdr:rowOff>
    </xdr:from>
    <xdr:to>
      <xdr:col>45</xdr:col>
      <xdr:colOff>83820</xdr:colOff>
      <xdr:row>633</xdr:row>
      <xdr:rowOff>114300</xdr:rowOff>
    </xdr:to>
    <xdr:sp macro="" textlink="">
      <xdr:nvSpPr>
        <xdr:cNvPr id="4790" name="Arrow: Down 4789">
          <a:extLst>
            <a:ext uri="{FF2B5EF4-FFF2-40B4-BE49-F238E27FC236}">
              <a16:creationId xmlns:a16="http://schemas.microsoft.com/office/drawing/2014/main" id="{4FE93A37-204F-4BDD-AA1B-770426BD3EA4}"/>
            </a:ext>
          </a:extLst>
        </xdr:cNvPr>
        <xdr:cNvSpPr/>
      </xdr:nvSpPr>
      <xdr:spPr>
        <a:xfrm>
          <a:off x="1340358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633</xdr:row>
      <xdr:rowOff>0</xdr:rowOff>
    </xdr:from>
    <xdr:to>
      <xdr:col>24</xdr:col>
      <xdr:colOff>83820</xdr:colOff>
      <xdr:row>633</xdr:row>
      <xdr:rowOff>114300</xdr:rowOff>
    </xdr:to>
    <xdr:sp macro="" textlink="">
      <xdr:nvSpPr>
        <xdr:cNvPr id="4791" name="Arrow: Down 4790">
          <a:extLst>
            <a:ext uri="{FF2B5EF4-FFF2-40B4-BE49-F238E27FC236}">
              <a16:creationId xmlns:a16="http://schemas.microsoft.com/office/drawing/2014/main" id="{D314AC83-F1BF-4EE4-ABFA-6EC0134BFC00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633</xdr:row>
      <xdr:rowOff>0</xdr:rowOff>
    </xdr:from>
    <xdr:to>
      <xdr:col>60</xdr:col>
      <xdr:colOff>83820</xdr:colOff>
      <xdr:row>633</xdr:row>
      <xdr:rowOff>114300</xdr:rowOff>
    </xdr:to>
    <xdr:sp macro="" textlink="">
      <xdr:nvSpPr>
        <xdr:cNvPr id="4793" name="Arrow: Down 4792">
          <a:extLst>
            <a:ext uri="{FF2B5EF4-FFF2-40B4-BE49-F238E27FC236}">
              <a16:creationId xmlns:a16="http://schemas.microsoft.com/office/drawing/2014/main" id="{49CE71BE-5319-424D-AD49-9D2CB8EA5DD8}"/>
            </a:ext>
          </a:extLst>
        </xdr:cNvPr>
        <xdr:cNvSpPr/>
      </xdr:nvSpPr>
      <xdr:spPr>
        <a:xfrm rot="10800000">
          <a:off x="190804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633</xdr:row>
      <xdr:rowOff>0</xdr:rowOff>
    </xdr:from>
    <xdr:to>
      <xdr:col>5</xdr:col>
      <xdr:colOff>83820</xdr:colOff>
      <xdr:row>633</xdr:row>
      <xdr:rowOff>114300</xdr:rowOff>
    </xdr:to>
    <xdr:sp macro="" textlink="">
      <xdr:nvSpPr>
        <xdr:cNvPr id="4794" name="Arrow: Down 4793">
          <a:extLst>
            <a:ext uri="{FF2B5EF4-FFF2-40B4-BE49-F238E27FC236}">
              <a16:creationId xmlns:a16="http://schemas.microsoft.com/office/drawing/2014/main" id="{83E002AB-DBC5-4CD9-92ED-010E5F309B8B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633</xdr:row>
      <xdr:rowOff>0</xdr:rowOff>
    </xdr:from>
    <xdr:to>
      <xdr:col>11</xdr:col>
      <xdr:colOff>83820</xdr:colOff>
      <xdr:row>633</xdr:row>
      <xdr:rowOff>114300</xdr:rowOff>
    </xdr:to>
    <xdr:sp macro="" textlink="">
      <xdr:nvSpPr>
        <xdr:cNvPr id="4795" name="Arrow: Down 4794">
          <a:extLst>
            <a:ext uri="{FF2B5EF4-FFF2-40B4-BE49-F238E27FC236}">
              <a16:creationId xmlns:a16="http://schemas.microsoft.com/office/drawing/2014/main" id="{475F5E95-6F32-45B3-82E8-DF6C9F8202D2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633</xdr:row>
      <xdr:rowOff>0</xdr:rowOff>
    </xdr:from>
    <xdr:to>
      <xdr:col>39</xdr:col>
      <xdr:colOff>83820</xdr:colOff>
      <xdr:row>633</xdr:row>
      <xdr:rowOff>114300</xdr:rowOff>
    </xdr:to>
    <xdr:sp macro="" textlink="">
      <xdr:nvSpPr>
        <xdr:cNvPr id="4797" name="Arrow: Down 4796">
          <a:extLst>
            <a:ext uri="{FF2B5EF4-FFF2-40B4-BE49-F238E27FC236}">
              <a16:creationId xmlns:a16="http://schemas.microsoft.com/office/drawing/2014/main" id="{28B92741-64CE-4AA6-9B3D-29B8BFC06671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634</xdr:row>
      <xdr:rowOff>0</xdr:rowOff>
    </xdr:from>
    <xdr:to>
      <xdr:col>71</xdr:col>
      <xdr:colOff>83820</xdr:colOff>
      <xdr:row>634</xdr:row>
      <xdr:rowOff>114300</xdr:rowOff>
    </xdr:to>
    <xdr:sp macro="" textlink="">
      <xdr:nvSpPr>
        <xdr:cNvPr id="4805" name="Arrow: Down 4804">
          <a:extLst>
            <a:ext uri="{FF2B5EF4-FFF2-40B4-BE49-F238E27FC236}">
              <a16:creationId xmlns:a16="http://schemas.microsoft.com/office/drawing/2014/main" id="{BDF10161-0359-4BB2-B547-FD7A6894DD3E}"/>
            </a:ext>
          </a:extLst>
        </xdr:cNvPr>
        <xdr:cNvSpPr/>
      </xdr:nvSpPr>
      <xdr:spPr>
        <a:xfrm rot="10800000">
          <a:off x="2180082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634</xdr:row>
      <xdr:rowOff>0</xdr:rowOff>
    </xdr:from>
    <xdr:to>
      <xdr:col>45</xdr:col>
      <xdr:colOff>83820</xdr:colOff>
      <xdr:row>634</xdr:row>
      <xdr:rowOff>114300</xdr:rowOff>
    </xdr:to>
    <xdr:sp macro="" textlink="">
      <xdr:nvSpPr>
        <xdr:cNvPr id="4806" name="Arrow: Down 4805">
          <a:extLst>
            <a:ext uri="{FF2B5EF4-FFF2-40B4-BE49-F238E27FC236}">
              <a16:creationId xmlns:a16="http://schemas.microsoft.com/office/drawing/2014/main" id="{83806FDB-2CE2-483A-93C3-518DDAB917E7}"/>
            </a:ext>
          </a:extLst>
        </xdr:cNvPr>
        <xdr:cNvSpPr/>
      </xdr:nvSpPr>
      <xdr:spPr>
        <a:xfrm>
          <a:off x="134035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634</xdr:row>
      <xdr:rowOff>0</xdr:rowOff>
    </xdr:from>
    <xdr:to>
      <xdr:col>24</xdr:col>
      <xdr:colOff>83820</xdr:colOff>
      <xdr:row>634</xdr:row>
      <xdr:rowOff>114300</xdr:rowOff>
    </xdr:to>
    <xdr:sp macro="" textlink="">
      <xdr:nvSpPr>
        <xdr:cNvPr id="4807" name="Arrow: Down 4806">
          <a:extLst>
            <a:ext uri="{FF2B5EF4-FFF2-40B4-BE49-F238E27FC236}">
              <a16:creationId xmlns:a16="http://schemas.microsoft.com/office/drawing/2014/main" id="{041719F6-B97B-40D7-9128-25D93677F704}"/>
            </a:ext>
          </a:extLst>
        </xdr:cNvPr>
        <xdr:cNvSpPr/>
      </xdr:nvSpPr>
      <xdr:spPr>
        <a:xfrm>
          <a:off x="833628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634</xdr:row>
      <xdr:rowOff>0</xdr:rowOff>
    </xdr:from>
    <xdr:to>
      <xdr:col>5</xdr:col>
      <xdr:colOff>83820</xdr:colOff>
      <xdr:row>634</xdr:row>
      <xdr:rowOff>114300</xdr:rowOff>
    </xdr:to>
    <xdr:sp macro="" textlink="">
      <xdr:nvSpPr>
        <xdr:cNvPr id="4809" name="Arrow: Down 4808">
          <a:extLst>
            <a:ext uri="{FF2B5EF4-FFF2-40B4-BE49-F238E27FC236}">
              <a16:creationId xmlns:a16="http://schemas.microsoft.com/office/drawing/2014/main" id="{9291CE29-4FB2-4A66-B145-B20386FE3CC7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634</xdr:row>
      <xdr:rowOff>0</xdr:rowOff>
    </xdr:from>
    <xdr:to>
      <xdr:col>11</xdr:col>
      <xdr:colOff>83820</xdr:colOff>
      <xdr:row>634</xdr:row>
      <xdr:rowOff>114300</xdr:rowOff>
    </xdr:to>
    <xdr:sp macro="" textlink="">
      <xdr:nvSpPr>
        <xdr:cNvPr id="4810" name="Arrow: Down 4809">
          <a:extLst>
            <a:ext uri="{FF2B5EF4-FFF2-40B4-BE49-F238E27FC236}">
              <a16:creationId xmlns:a16="http://schemas.microsoft.com/office/drawing/2014/main" id="{F566CD47-87E0-4870-B65C-FB1D7A53D144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634</xdr:row>
      <xdr:rowOff>0</xdr:rowOff>
    </xdr:from>
    <xdr:to>
      <xdr:col>39</xdr:col>
      <xdr:colOff>83820</xdr:colOff>
      <xdr:row>634</xdr:row>
      <xdr:rowOff>114300</xdr:rowOff>
    </xdr:to>
    <xdr:sp macro="" textlink="">
      <xdr:nvSpPr>
        <xdr:cNvPr id="4811" name="Arrow: Down 4810">
          <a:extLst>
            <a:ext uri="{FF2B5EF4-FFF2-40B4-BE49-F238E27FC236}">
              <a16:creationId xmlns:a16="http://schemas.microsoft.com/office/drawing/2014/main" id="{6C77606C-B010-4E4B-BBEF-23D9FE646E80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634</xdr:row>
      <xdr:rowOff>0</xdr:rowOff>
    </xdr:from>
    <xdr:to>
      <xdr:col>60</xdr:col>
      <xdr:colOff>83820</xdr:colOff>
      <xdr:row>634</xdr:row>
      <xdr:rowOff>114300</xdr:rowOff>
    </xdr:to>
    <xdr:sp macro="" textlink="">
      <xdr:nvSpPr>
        <xdr:cNvPr id="4812" name="Arrow: Down 4811">
          <a:extLst>
            <a:ext uri="{FF2B5EF4-FFF2-40B4-BE49-F238E27FC236}">
              <a16:creationId xmlns:a16="http://schemas.microsoft.com/office/drawing/2014/main" id="{F97216A6-02EA-47C7-8C0D-F958CB3AE347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635</xdr:row>
      <xdr:rowOff>0</xdr:rowOff>
    </xdr:from>
    <xdr:to>
      <xdr:col>60</xdr:col>
      <xdr:colOff>83820</xdr:colOff>
      <xdr:row>635</xdr:row>
      <xdr:rowOff>114300</xdr:rowOff>
    </xdr:to>
    <xdr:sp macro="" textlink="">
      <xdr:nvSpPr>
        <xdr:cNvPr id="4674" name="Arrow: Down 4673">
          <a:extLst>
            <a:ext uri="{FF2B5EF4-FFF2-40B4-BE49-F238E27FC236}">
              <a16:creationId xmlns:a16="http://schemas.microsoft.com/office/drawing/2014/main" id="{0073DBB3-569A-4881-936A-74D5570E1A9C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635</xdr:row>
      <xdr:rowOff>0</xdr:rowOff>
    </xdr:from>
    <xdr:to>
      <xdr:col>71</xdr:col>
      <xdr:colOff>83820</xdr:colOff>
      <xdr:row>635</xdr:row>
      <xdr:rowOff>114300</xdr:rowOff>
    </xdr:to>
    <xdr:sp macro="" textlink="">
      <xdr:nvSpPr>
        <xdr:cNvPr id="4680" name="Arrow: Down 4679">
          <a:extLst>
            <a:ext uri="{FF2B5EF4-FFF2-40B4-BE49-F238E27FC236}">
              <a16:creationId xmlns:a16="http://schemas.microsoft.com/office/drawing/2014/main" id="{2E0AB8A0-41E3-4B80-ADAA-7A5FF33F1EC1}"/>
            </a:ext>
          </a:extLst>
        </xdr:cNvPr>
        <xdr:cNvSpPr/>
      </xdr:nvSpPr>
      <xdr:spPr>
        <a:xfrm>
          <a:off x="2180082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635</xdr:row>
      <xdr:rowOff>0</xdr:rowOff>
    </xdr:from>
    <xdr:to>
      <xdr:col>5</xdr:col>
      <xdr:colOff>83820</xdr:colOff>
      <xdr:row>635</xdr:row>
      <xdr:rowOff>114300</xdr:rowOff>
    </xdr:to>
    <xdr:sp macro="" textlink="">
      <xdr:nvSpPr>
        <xdr:cNvPr id="4686" name="Arrow: Down 4685">
          <a:extLst>
            <a:ext uri="{FF2B5EF4-FFF2-40B4-BE49-F238E27FC236}">
              <a16:creationId xmlns:a16="http://schemas.microsoft.com/office/drawing/2014/main" id="{2B1CAE20-915E-4224-BFAE-2FB9465CE013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635</xdr:row>
      <xdr:rowOff>0</xdr:rowOff>
    </xdr:from>
    <xdr:to>
      <xdr:col>11</xdr:col>
      <xdr:colOff>83820</xdr:colOff>
      <xdr:row>635</xdr:row>
      <xdr:rowOff>114300</xdr:rowOff>
    </xdr:to>
    <xdr:sp macro="" textlink="">
      <xdr:nvSpPr>
        <xdr:cNvPr id="4691" name="Arrow: Down 4690">
          <a:extLst>
            <a:ext uri="{FF2B5EF4-FFF2-40B4-BE49-F238E27FC236}">
              <a16:creationId xmlns:a16="http://schemas.microsoft.com/office/drawing/2014/main" id="{DE328954-ABD7-401C-B0D0-971A81515330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635</xdr:row>
      <xdr:rowOff>0</xdr:rowOff>
    </xdr:from>
    <xdr:to>
      <xdr:col>24</xdr:col>
      <xdr:colOff>83820</xdr:colOff>
      <xdr:row>635</xdr:row>
      <xdr:rowOff>114300</xdr:rowOff>
    </xdr:to>
    <xdr:sp macro="" textlink="">
      <xdr:nvSpPr>
        <xdr:cNvPr id="4696" name="Arrow: Down 4695">
          <a:extLst>
            <a:ext uri="{FF2B5EF4-FFF2-40B4-BE49-F238E27FC236}">
              <a16:creationId xmlns:a16="http://schemas.microsoft.com/office/drawing/2014/main" id="{283E2B07-C5E4-47B3-8F83-CAE115C5C954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635</xdr:row>
      <xdr:rowOff>0</xdr:rowOff>
    </xdr:from>
    <xdr:to>
      <xdr:col>39</xdr:col>
      <xdr:colOff>83820</xdr:colOff>
      <xdr:row>635</xdr:row>
      <xdr:rowOff>114300</xdr:rowOff>
    </xdr:to>
    <xdr:sp macro="" textlink="">
      <xdr:nvSpPr>
        <xdr:cNvPr id="4702" name="Arrow: Down 4701">
          <a:extLst>
            <a:ext uri="{FF2B5EF4-FFF2-40B4-BE49-F238E27FC236}">
              <a16:creationId xmlns:a16="http://schemas.microsoft.com/office/drawing/2014/main" id="{78BAD801-AB36-4B62-A2AE-EF9B8BC01238}"/>
            </a:ext>
          </a:extLst>
        </xdr:cNvPr>
        <xdr:cNvSpPr/>
      </xdr:nvSpPr>
      <xdr:spPr>
        <a:xfrm rot="10800000">
          <a:off x="1154430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635</xdr:row>
      <xdr:rowOff>0</xdr:rowOff>
    </xdr:from>
    <xdr:to>
      <xdr:col>45</xdr:col>
      <xdr:colOff>83820</xdr:colOff>
      <xdr:row>635</xdr:row>
      <xdr:rowOff>114300</xdr:rowOff>
    </xdr:to>
    <xdr:sp macro="" textlink="">
      <xdr:nvSpPr>
        <xdr:cNvPr id="4712" name="Arrow: Down 4711">
          <a:extLst>
            <a:ext uri="{FF2B5EF4-FFF2-40B4-BE49-F238E27FC236}">
              <a16:creationId xmlns:a16="http://schemas.microsoft.com/office/drawing/2014/main" id="{3F6F3D97-2B44-4CEA-89CC-6DEC418D06EB}"/>
            </a:ext>
          </a:extLst>
        </xdr:cNvPr>
        <xdr:cNvSpPr/>
      </xdr:nvSpPr>
      <xdr:spPr>
        <a:xfrm rot="10800000">
          <a:off x="1340358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636</xdr:row>
      <xdr:rowOff>0</xdr:rowOff>
    </xdr:from>
    <xdr:to>
      <xdr:col>5</xdr:col>
      <xdr:colOff>83820</xdr:colOff>
      <xdr:row>636</xdr:row>
      <xdr:rowOff>114300</xdr:rowOff>
    </xdr:to>
    <xdr:sp macro="" textlink="">
      <xdr:nvSpPr>
        <xdr:cNvPr id="4664" name="Arrow: Down 4663">
          <a:extLst>
            <a:ext uri="{FF2B5EF4-FFF2-40B4-BE49-F238E27FC236}">
              <a16:creationId xmlns:a16="http://schemas.microsoft.com/office/drawing/2014/main" id="{AB195960-08EF-4ABE-B849-A1C507B77BE7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636</xdr:row>
      <xdr:rowOff>0</xdr:rowOff>
    </xdr:from>
    <xdr:to>
      <xdr:col>11</xdr:col>
      <xdr:colOff>83820</xdr:colOff>
      <xdr:row>636</xdr:row>
      <xdr:rowOff>114300</xdr:rowOff>
    </xdr:to>
    <xdr:sp macro="" textlink="">
      <xdr:nvSpPr>
        <xdr:cNvPr id="4667" name="Arrow: Down 4666">
          <a:extLst>
            <a:ext uri="{FF2B5EF4-FFF2-40B4-BE49-F238E27FC236}">
              <a16:creationId xmlns:a16="http://schemas.microsoft.com/office/drawing/2014/main" id="{E36DB133-F7C1-4911-B0E5-5E9B9C9EAA3B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636</xdr:row>
      <xdr:rowOff>0</xdr:rowOff>
    </xdr:from>
    <xdr:to>
      <xdr:col>24</xdr:col>
      <xdr:colOff>83820</xdr:colOff>
      <xdr:row>636</xdr:row>
      <xdr:rowOff>114300</xdr:rowOff>
    </xdr:to>
    <xdr:sp macro="" textlink="">
      <xdr:nvSpPr>
        <xdr:cNvPr id="4668" name="Arrow: Down 4667">
          <a:extLst>
            <a:ext uri="{FF2B5EF4-FFF2-40B4-BE49-F238E27FC236}">
              <a16:creationId xmlns:a16="http://schemas.microsoft.com/office/drawing/2014/main" id="{0E144FD4-52C7-42E9-9B27-A7ED10B89C3E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636</xdr:row>
      <xdr:rowOff>0</xdr:rowOff>
    </xdr:from>
    <xdr:to>
      <xdr:col>60</xdr:col>
      <xdr:colOff>83820</xdr:colOff>
      <xdr:row>636</xdr:row>
      <xdr:rowOff>114300</xdr:rowOff>
    </xdr:to>
    <xdr:sp macro="" textlink="">
      <xdr:nvSpPr>
        <xdr:cNvPr id="4693" name="Arrow: Down 4692">
          <a:extLst>
            <a:ext uri="{FF2B5EF4-FFF2-40B4-BE49-F238E27FC236}">
              <a16:creationId xmlns:a16="http://schemas.microsoft.com/office/drawing/2014/main" id="{B5830B20-A163-42A5-BFD4-3DD5B945CB07}"/>
            </a:ext>
          </a:extLst>
        </xdr:cNvPr>
        <xdr:cNvSpPr/>
      </xdr:nvSpPr>
      <xdr:spPr>
        <a:xfrm rot="10800000">
          <a:off x="190804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636</xdr:row>
      <xdr:rowOff>0</xdr:rowOff>
    </xdr:from>
    <xdr:to>
      <xdr:col>71</xdr:col>
      <xdr:colOff>83820</xdr:colOff>
      <xdr:row>636</xdr:row>
      <xdr:rowOff>114300</xdr:rowOff>
    </xdr:to>
    <xdr:sp macro="" textlink="">
      <xdr:nvSpPr>
        <xdr:cNvPr id="4700" name="Arrow: Down 4699">
          <a:extLst>
            <a:ext uri="{FF2B5EF4-FFF2-40B4-BE49-F238E27FC236}">
              <a16:creationId xmlns:a16="http://schemas.microsoft.com/office/drawing/2014/main" id="{37403386-9BA0-474A-9BD4-7FB091DACC2F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636</xdr:row>
      <xdr:rowOff>0</xdr:rowOff>
    </xdr:from>
    <xdr:to>
      <xdr:col>39</xdr:col>
      <xdr:colOff>83820</xdr:colOff>
      <xdr:row>636</xdr:row>
      <xdr:rowOff>114300</xdr:rowOff>
    </xdr:to>
    <xdr:sp macro="" textlink="">
      <xdr:nvSpPr>
        <xdr:cNvPr id="4713" name="Arrow: Down 4712">
          <a:extLst>
            <a:ext uri="{FF2B5EF4-FFF2-40B4-BE49-F238E27FC236}">
              <a16:creationId xmlns:a16="http://schemas.microsoft.com/office/drawing/2014/main" id="{1DBCF6B9-C36F-4CD4-ADAA-C26D41A9FA22}"/>
            </a:ext>
          </a:extLst>
        </xdr:cNvPr>
        <xdr:cNvSpPr/>
      </xdr:nvSpPr>
      <xdr:spPr>
        <a:xfrm>
          <a:off x="115443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636</xdr:row>
      <xdr:rowOff>0</xdr:rowOff>
    </xdr:from>
    <xdr:to>
      <xdr:col>45</xdr:col>
      <xdr:colOff>83820</xdr:colOff>
      <xdr:row>636</xdr:row>
      <xdr:rowOff>114300</xdr:rowOff>
    </xdr:to>
    <xdr:sp macro="" textlink="">
      <xdr:nvSpPr>
        <xdr:cNvPr id="4714" name="Arrow: Down 4713">
          <a:extLst>
            <a:ext uri="{FF2B5EF4-FFF2-40B4-BE49-F238E27FC236}">
              <a16:creationId xmlns:a16="http://schemas.microsoft.com/office/drawing/2014/main" id="{F554CE52-88D7-403C-AA8A-11E337BE2CC6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637</xdr:row>
      <xdr:rowOff>0</xdr:rowOff>
    </xdr:from>
    <xdr:to>
      <xdr:col>5</xdr:col>
      <xdr:colOff>83820</xdr:colOff>
      <xdr:row>637</xdr:row>
      <xdr:rowOff>114300</xdr:rowOff>
    </xdr:to>
    <xdr:sp macro="" textlink="">
      <xdr:nvSpPr>
        <xdr:cNvPr id="4715" name="Arrow: Down 4714">
          <a:extLst>
            <a:ext uri="{FF2B5EF4-FFF2-40B4-BE49-F238E27FC236}">
              <a16:creationId xmlns:a16="http://schemas.microsoft.com/office/drawing/2014/main" id="{2D6D4CEA-56E0-4227-9F10-26C1AC622719}"/>
            </a:ext>
          </a:extLst>
        </xdr:cNvPr>
        <xdr:cNvSpPr/>
      </xdr:nvSpPr>
      <xdr:spPr>
        <a:xfrm rot="10800000">
          <a:off x="192786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637</xdr:row>
      <xdr:rowOff>0</xdr:rowOff>
    </xdr:from>
    <xdr:to>
      <xdr:col>11</xdr:col>
      <xdr:colOff>83820</xdr:colOff>
      <xdr:row>637</xdr:row>
      <xdr:rowOff>114300</xdr:rowOff>
    </xdr:to>
    <xdr:sp macro="" textlink="">
      <xdr:nvSpPr>
        <xdr:cNvPr id="4716" name="Arrow: Down 4715">
          <a:extLst>
            <a:ext uri="{FF2B5EF4-FFF2-40B4-BE49-F238E27FC236}">
              <a16:creationId xmlns:a16="http://schemas.microsoft.com/office/drawing/2014/main" id="{05CD5F39-82D3-4135-99EE-DAFD29A10E93}"/>
            </a:ext>
          </a:extLst>
        </xdr:cNvPr>
        <xdr:cNvSpPr/>
      </xdr:nvSpPr>
      <xdr:spPr>
        <a:xfrm rot="10800000">
          <a:off x="36957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637</xdr:row>
      <xdr:rowOff>0</xdr:rowOff>
    </xdr:from>
    <xdr:to>
      <xdr:col>71</xdr:col>
      <xdr:colOff>83820</xdr:colOff>
      <xdr:row>637</xdr:row>
      <xdr:rowOff>114300</xdr:rowOff>
    </xdr:to>
    <xdr:sp macro="" textlink="">
      <xdr:nvSpPr>
        <xdr:cNvPr id="4720" name="Arrow: Down 4719">
          <a:extLst>
            <a:ext uri="{FF2B5EF4-FFF2-40B4-BE49-F238E27FC236}">
              <a16:creationId xmlns:a16="http://schemas.microsoft.com/office/drawing/2014/main" id="{EB5C862C-4E91-429B-A670-4F5ACADD6B0E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637</xdr:row>
      <xdr:rowOff>0</xdr:rowOff>
    </xdr:from>
    <xdr:to>
      <xdr:col>45</xdr:col>
      <xdr:colOff>83820</xdr:colOff>
      <xdr:row>637</xdr:row>
      <xdr:rowOff>114300</xdr:rowOff>
    </xdr:to>
    <xdr:sp macro="" textlink="">
      <xdr:nvSpPr>
        <xdr:cNvPr id="4722" name="Arrow: Down 4721">
          <a:extLst>
            <a:ext uri="{FF2B5EF4-FFF2-40B4-BE49-F238E27FC236}">
              <a16:creationId xmlns:a16="http://schemas.microsoft.com/office/drawing/2014/main" id="{903529C3-A2C2-4890-9562-D9CD42BB571D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637</xdr:row>
      <xdr:rowOff>0</xdr:rowOff>
    </xdr:from>
    <xdr:to>
      <xdr:col>39</xdr:col>
      <xdr:colOff>83820</xdr:colOff>
      <xdr:row>637</xdr:row>
      <xdr:rowOff>114300</xdr:rowOff>
    </xdr:to>
    <xdr:sp macro="" textlink="">
      <xdr:nvSpPr>
        <xdr:cNvPr id="4724" name="Arrow: Down 4723">
          <a:extLst>
            <a:ext uri="{FF2B5EF4-FFF2-40B4-BE49-F238E27FC236}">
              <a16:creationId xmlns:a16="http://schemas.microsoft.com/office/drawing/2014/main" id="{4BBA8E7C-8A1C-48D1-A153-4D1A785F1C5E}"/>
            </a:ext>
          </a:extLst>
        </xdr:cNvPr>
        <xdr:cNvSpPr/>
      </xdr:nvSpPr>
      <xdr:spPr>
        <a:xfrm rot="10800000">
          <a:off x="1154430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637</xdr:row>
      <xdr:rowOff>0</xdr:rowOff>
    </xdr:from>
    <xdr:to>
      <xdr:col>24</xdr:col>
      <xdr:colOff>83820</xdr:colOff>
      <xdr:row>637</xdr:row>
      <xdr:rowOff>114300</xdr:rowOff>
    </xdr:to>
    <xdr:sp macro="" textlink="">
      <xdr:nvSpPr>
        <xdr:cNvPr id="4726" name="Arrow: Down 4725">
          <a:extLst>
            <a:ext uri="{FF2B5EF4-FFF2-40B4-BE49-F238E27FC236}">
              <a16:creationId xmlns:a16="http://schemas.microsoft.com/office/drawing/2014/main" id="{C07E6D0C-6E29-4241-8D51-9773522BA943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637</xdr:row>
      <xdr:rowOff>0</xdr:rowOff>
    </xdr:from>
    <xdr:to>
      <xdr:col>60</xdr:col>
      <xdr:colOff>83820</xdr:colOff>
      <xdr:row>637</xdr:row>
      <xdr:rowOff>114300</xdr:rowOff>
    </xdr:to>
    <xdr:sp macro="" textlink="">
      <xdr:nvSpPr>
        <xdr:cNvPr id="4727" name="Arrow: Down 4726">
          <a:extLst>
            <a:ext uri="{FF2B5EF4-FFF2-40B4-BE49-F238E27FC236}">
              <a16:creationId xmlns:a16="http://schemas.microsoft.com/office/drawing/2014/main" id="{D6CEF0DB-2077-4B16-B769-C2B9C3889189}"/>
            </a:ext>
          </a:extLst>
        </xdr:cNvPr>
        <xdr:cNvSpPr/>
      </xdr:nvSpPr>
      <xdr:spPr>
        <a:xfrm>
          <a:off x="190804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638</xdr:row>
      <xdr:rowOff>0</xdr:rowOff>
    </xdr:from>
    <xdr:to>
      <xdr:col>71</xdr:col>
      <xdr:colOff>83820</xdr:colOff>
      <xdr:row>638</xdr:row>
      <xdr:rowOff>114300</xdr:rowOff>
    </xdr:to>
    <xdr:sp macro="" textlink="">
      <xdr:nvSpPr>
        <xdr:cNvPr id="4744" name="Arrow: Down 4743">
          <a:extLst>
            <a:ext uri="{FF2B5EF4-FFF2-40B4-BE49-F238E27FC236}">
              <a16:creationId xmlns:a16="http://schemas.microsoft.com/office/drawing/2014/main" id="{0E288411-AB24-47E7-BB9D-F792AF607B69}"/>
            </a:ext>
          </a:extLst>
        </xdr:cNvPr>
        <xdr:cNvSpPr/>
      </xdr:nvSpPr>
      <xdr:spPr>
        <a:xfrm rot="10800000">
          <a:off x="2180082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638</xdr:row>
      <xdr:rowOff>0</xdr:rowOff>
    </xdr:from>
    <xdr:to>
      <xdr:col>45</xdr:col>
      <xdr:colOff>83820</xdr:colOff>
      <xdr:row>638</xdr:row>
      <xdr:rowOff>114300</xdr:rowOff>
    </xdr:to>
    <xdr:sp macro="" textlink="">
      <xdr:nvSpPr>
        <xdr:cNvPr id="4750" name="Arrow: Down 4749">
          <a:extLst>
            <a:ext uri="{FF2B5EF4-FFF2-40B4-BE49-F238E27FC236}">
              <a16:creationId xmlns:a16="http://schemas.microsoft.com/office/drawing/2014/main" id="{302D7B6F-1957-400B-8CAB-F7DE4BA33BE8}"/>
            </a:ext>
          </a:extLst>
        </xdr:cNvPr>
        <xdr:cNvSpPr/>
      </xdr:nvSpPr>
      <xdr:spPr>
        <a:xfrm>
          <a:off x="1340358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638</xdr:row>
      <xdr:rowOff>0</xdr:rowOff>
    </xdr:from>
    <xdr:to>
      <xdr:col>24</xdr:col>
      <xdr:colOff>83820</xdr:colOff>
      <xdr:row>638</xdr:row>
      <xdr:rowOff>114300</xdr:rowOff>
    </xdr:to>
    <xdr:sp macro="" textlink="">
      <xdr:nvSpPr>
        <xdr:cNvPr id="4752" name="Arrow: Down 4751">
          <a:extLst>
            <a:ext uri="{FF2B5EF4-FFF2-40B4-BE49-F238E27FC236}">
              <a16:creationId xmlns:a16="http://schemas.microsoft.com/office/drawing/2014/main" id="{ABBD33AE-56D8-4CCF-904F-0479788DED26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638</xdr:row>
      <xdr:rowOff>0</xdr:rowOff>
    </xdr:from>
    <xdr:to>
      <xdr:col>60</xdr:col>
      <xdr:colOff>83820</xdr:colOff>
      <xdr:row>638</xdr:row>
      <xdr:rowOff>114300</xdr:rowOff>
    </xdr:to>
    <xdr:sp macro="" textlink="">
      <xdr:nvSpPr>
        <xdr:cNvPr id="4754" name="Arrow: Down 4753">
          <a:extLst>
            <a:ext uri="{FF2B5EF4-FFF2-40B4-BE49-F238E27FC236}">
              <a16:creationId xmlns:a16="http://schemas.microsoft.com/office/drawing/2014/main" id="{65B86B65-DE7B-4B1B-B80F-1BE994ECE0AC}"/>
            </a:ext>
          </a:extLst>
        </xdr:cNvPr>
        <xdr:cNvSpPr/>
      </xdr:nvSpPr>
      <xdr:spPr>
        <a:xfrm rot="10800000">
          <a:off x="190804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638</xdr:row>
      <xdr:rowOff>0</xdr:rowOff>
    </xdr:from>
    <xdr:to>
      <xdr:col>5</xdr:col>
      <xdr:colOff>83820</xdr:colOff>
      <xdr:row>638</xdr:row>
      <xdr:rowOff>114300</xdr:rowOff>
    </xdr:to>
    <xdr:sp macro="" textlink="">
      <xdr:nvSpPr>
        <xdr:cNvPr id="4756" name="Arrow: Down 4755">
          <a:extLst>
            <a:ext uri="{FF2B5EF4-FFF2-40B4-BE49-F238E27FC236}">
              <a16:creationId xmlns:a16="http://schemas.microsoft.com/office/drawing/2014/main" id="{3AD9291B-089B-45A0-B55A-271CB58A7E2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638</xdr:row>
      <xdr:rowOff>0</xdr:rowOff>
    </xdr:from>
    <xdr:to>
      <xdr:col>11</xdr:col>
      <xdr:colOff>83820</xdr:colOff>
      <xdr:row>638</xdr:row>
      <xdr:rowOff>114300</xdr:rowOff>
    </xdr:to>
    <xdr:sp macro="" textlink="">
      <xdr:nvSpPr>
        <xdr:cNvPr id="4759" name="Arrow: Down 4758">
          <a:extLst>
            <a:ext uri="{FF2B5EF4-FFF2-40B4-BE49-F238E27FC236}">
              <a16:creationId xmlns:a16="http://schemas.microsoft.com/office/drawing/2014/main" id="{7E08DCFD-24F6-4E8B-BA59-FFD2F43767D6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639</xdr:row>
      <xdr:rowOff>0</xdr:rowOff>
    </xdr:from>
    <xdr:to>
      <xdr:col>45</xdr:col>
      <xdr:colOff>83820</xdr:colOff>
      <xdr:row>639</xdr:row>
      <xdr:rowOff>114300</xdr:rowOff>
    </xdr:to>
    <xdr:sp macro="" textlink="">
      <xdr:nvSpPr>
        <xdr:cNvPr id="4772" name="Arrow: Down 4771">
          <a:extLst>
            <a:ext uri="{FF2B5EF4-FFF2-40B4-BE49-F238E27FC236}">
              <a16:creationId xmlns:a16="http://schemas.microsoft.com/office/drawing/2014/main" id="{02E2F6E4-7752-4BEF-9D7B-E0315D7AE03B}"/>
            </a:ext>
          </a:extLst>
        </xdr:cNvPr>
        <xdr:cNvSpPr/>
      </xdr:nvSpPr>
      <xdr:spPr>
        <a:xfrm>
          <a:off x="134035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639</xdr:row>
      <xdr:rowOff>0</xdr:rowOff>
    </xdr:from>
    <xdr:to>
      <xdr:col>5</xdr:col>
      <xdr:colOff>83820</xdr:colOff>
      <xdr:row>639</xdr:row>
      <xdr:rowOff>114300</xdr:rowOff>
    </xdr:to>
    <xdr:sp macro="" textlink="">
      <xdr:nvSpPr>
        <xdr:cNvPr id="4783" name="Arrow: Down 4782">
          <a:extLst>
            <a:ext uri="{FF2B5EF4-FFF2-40B4-BE49-F238E27FC236}">
              <a16:creationId xmlns:a16="http://schemas.microsoft.com/office/drawing/2014/main" id="{679E23BA-095C-4E5E-99BA-63D82A57A75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639</xdr:row>
      <xdr:rowOff>0</xdr:rowOff>
    </xdr:from>
    <xdr:to>
      <xdr:col>11</xdr:col>
      <xdr:colOff>83820</xdr:colOff>
      <xdr:row>639</xdr:row>
      <xdr:rowOff>114300</xdr:rowOff>
    </xdr:to>
    <xdr:sp macro="" textlink="">
      <xdr:nvSpPr>
        <xdr:cNvPr id="4787" name="Arrow: Down 4786">
          <a:extLst>
            <a:ext uri="{FF2B5EF4-FFF2-40B4-BE49-F238E27FC236}">
              <a16:creationId xmlns:a16="http://schemas.microsoft.com/office/drawing/2014/main" id="{EB102129-CE86-425A-98D3-C0B17ED23EDF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639</xdr:row>
      <xdr:rowOff>0</xdr:rowOff>
    </xdr:from>
    <xdr:to>
      <xdr:col>39</xdr:col>
      <xdr:colOff>83820</xdr:colOff>
      <xdr:row>639</xdr:row>
      <xdr:rowOff>114300</xdr:rowOff>
    </xdr:to>
    <xdr:sp macro="" textlink="">
      <xdr:nvSpPr>
        <xdr:cNvPr id="4788" name="Arrow: Down 4787">
          <a:extLst>
            <a:ext uri="{FF2B5EF4-FFF2-40B4-BE49-F238E27FC236}">
              <a16:creationId xmlns:a16="http://schemas.microsoft.com/office/drawing/2014/main" id="{5B1AD0ED-CB56-4682-95AE-BA4B7D8BC6B6}"/>
            </a:ext>
          </a:extLst>
        </xdr:cNvPr>
        <xdr:cNvSpPr/>
      </xdr:nvSpPr>
      <xdr:spPr>
        <a:xfrm rot="10800000">
          <a:off x="11544300" y="116959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638</xdr:row>
      <xdr:rowOff>0</xdr:rowOff>
    </xdr:from>
    <xdr:to>
      <xdr:col>39</xdr:col>
      <xdr:colOff>83820</xdr:colOff>
      <xdr:row>638</xdr:row>
      <xdr:rowOff>114300</xdr:rowOff>
    </xdr:to>
    <xdr:sp macro="" textlink="">
      <xdr:nvSpPr>
        <xdr:cNvPr id="4789" name="Arrow: Down 4788">
          <a:extLst>
            <a:ext uri="{FF2B5EF4-FFF2-40B4-BE49-F238E27FC236}">
              <a16:creationId xmlns:a16="http://schemas.microsoft.com/office/drawing/2014/main" id="{D28926C1-467A-462F-AAEC-4FA2D646B512}"/>
            </a:ext>
          </a:extLst>
        </xdr:cNvPr>
        <xdr:cNvSpPr/>
      </xdr:nvSpPr>
      <xdr:spPr>
        <a:xfrm>
          <a:off x="1154430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639</xdr:row>
      <xdr:rowOff>0</xdr:rowOff>
    </xdr:from>
    <xdr:to>
      <xdr:col>60</xdr:col>
      <xdr:colOff>83820</xdr:colOff>
      <xdr:row>639</xdr:row>
      <xdr:rowOff>114300</xdr:rowOff>
    </xdr:to>
    <xdr:sp macro="" textlink="">
      <xdr:nvSpPr>
        <xdr:cNvPr id="4796" name="Arrow: Down 4795">
          <a:extLst>
            <a:ext uri="{FF2B5EF4-FFF2-40B4-BE49-F238E27FC236}">
              <a16:creationId xmlns:a16="http://schemas.microsoft.com/office/drawing/2014/main" id="{3B189873-0E82-4698-BB95-8520D9FC05A6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639</xdr:row>
      <xdr:rowOff>0</xdr:rowOff>
    </xdr:from>
    <xdr:to>
      <xdr:col>71</xdr:col>
      <xdr:colOff>83820</xdr:colOff>
      <xdr:row>639</xdr:row>
      <xdr:rowOff>114300</xdr:rowOff>
    </xdr:to>
    <xdr:sp macro="" textlink="">
      <xdr:nvSpPr>
        <xdr:cNvPr id="4798" name="Arrow: Down 4797">
          <a:extLst>
            <a:ext uri="{FF2B5EF4-FFF2-40B4-BE49-F238E27FC236}">
              <a16:creationId xmlns:a16="http://schemas.microsoft.com/office/drawing/2014/main" id="{17F71315-D419-4529-942B-7878F4B30537}"/>
            </a:ext>
          </a:extLst>
        </xdr:cNvPr>
        <xdr:cNvSpPr/>
      </xdr:nvSpPr>
      <xdr:spPr>
        <a:xfrm>
          <a:off x="2180082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640</xdr:row>
      <xdr:rowOff>0</xdr:rowOff>
    </xdr:from>
    <xdr:to>
      <xdr:col>45</xdr:col>
      <xdr:colOff>83820</xdr:colOff>
      <xdr:row>640</xdr:row>
      <xdr:rowOff>114300</xdr:rowOff>
    </xdr:to>
    <xdr:sp macro="" textlink="">
      <xdr:nvSpPr>
        <xdr:cNvPr id="4799" name="Arrow: Down 4798">
          <a:extLst>
            <a:ext uri="{FF2B5EF4-FFF2-40B4-BE49-F238E27FC236}">
              <a16:creationId xmlns:a16="http://schemas.microsoft.com/office/drawing/2014/main" id="{2F746367-540D-471E-8DB6-69E15333666E}"/>
            </a:ext>
          </a:extLst>
        </xdr:cNvPr>
        <xdr:cNvSpPr/>
      </xdr:nvSpPr>
      <xdr:spPr>
        <a:xfrm>
          <a:off x="134035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640</xdr:row>
      <xdr:rowOff>0</xdr:rowOff>
    </xdr:from>
    <xdr:to>
      <xdr:col>24</xdr:col>
      <xdr:colOff>83820</xdr:colOff>
      <xdr:row>640</xdr:row>
      <xdr:rowOff>114300</xdr:rowOff>
    </xdr:to>
    <xdr:sp macro="" textlink="">
      <xdr:nvSpPr>
        <xdr:cNvPr id="4800" name="Arrow: Down 4799">
          <a:extLst>
            <a:ext uri="{FF2B5EF4-FFF2-40B4-BE49-F238E27FC236}">
              <a16:creationId xmlns:a16="http://schemas.microsoft.com/office/drawing/2014/main" id="{D5C1004B-F311-4F21-A036-002C93100505}"/>
            </a:ext>
          </a:extLst>
        </xdr:cNvPr>
        <xdr:cNvSpPr/>
      </xdr:nvSpPr>
      <xdr:spPr>
        <a:xfrm>
          <a:off x="83362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640</xdr:row>
      <xdr:rowOff>0</xdr:rowOff>
    </xdr:from>
    <xdr:to>
      <xdr:col>5</xdr:col>
      <xdr:colOff>83820</xdr:colOff>
      <xdr:row>640</xdr:row>
      <xdr:rowOff>114300</xdr:rowOff>
    </xdr:to>
    <xdr:sp macro="" textlink="">
      <xdr:nvSpPr>
        <xdr:cNvPr id="4801" name="Arrow: Down 4800">
          <a:extLst>
            <a:ext uri="{FF2B5EF4-FFF2-40B4-BE49-F238E27FC236}">
              <a16:creationId xmlns:a16="http://schemas.microsoft.com/office/drawing/2014/main" id="{23DE261F-E241-425A-BAAB-E539B1DFDEE9}"/>
            </a:ext>
          </a:extLst>
        </xdr:cNvPr>
        <xdr:cNvSpPr/>
      </xdr:nvSpPr>
      <xdr:spPr>
        <a:xfrm>
          <a:off x="192786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640</xdr:row>
      <xdr:rowOff>0</xdr:rowOff>
    </xdr:from>
    <xdr:to>
      <xdr:col>11</xdr:col>
      <xdr:colOff>83820</xdr:colOff>
      <xdr:row>640</xdr:row>
      <xdr:rowOff>114300</xdr:rowOff>
    </xdr:to>
    <xdr:sp macro="" textlink="">
      <xdr:nvSpPr>
        <xdr:cNvPr id="4802" name="Arrow: Down 4801">
          <a:extLst>
            <a:ext uri="{FF2B5EF4-FFF2-40B4-BE49-F238E27FC236}">
              <a16:creationId xmlns:a16="http://schemas.microsoft.com/office/drawing/2014/main" id="{AFE7AE42-6E21-440D-B6F7-8299DE8E000E}"/>
            </a:ext>
          </a:extLst>
        </xdr:cNvPr>
        <xdr:cNvSpPr/>
      </xdr:nvSpPr>
      <xdr:spPr>
        <a:xfrm>
          <a:off x="369570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640</xdr:row>
      <xdr:rowOff>0</xdr:rowOff>
    </xdr:from>
    <xdr:to>
      <xdr:col>60</xdr:col>
      <xdr:colOff>83820</xdr:colOff>
      <xdr:row>640</xdr:row>
      <xdr:rowOff>114300</xdr:rowOff>
    </xdr:to>
    <xdr:sp macro="" textlink="">
      <xdr:nvSpPr>
        <xdr:cNvPr id="4804" name="Arrow: Down 4803">
          <a:extLst>
            <a:ext uri="{FF2B5EF4-FFF2-40B4-BE49-F238E27FC236}">
              <a16:creationId xmlns:a16="http://schemas.microsoft.com/office/drawing/2014/main" id="{A5B34203-8D76-4675-AF9A-DC8ACB748B21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639</xdr:row>
      <xdr:rowOff>0</xdr:rowOff>
    </xdr:from>
    <xdr:to>
      <xdr:col>24</xdr:col>
      <xdr:colOff>83820</xdr:colOff>
      <xdr:row>639</xdr:row>
      <xdr:rowOff>114300</xdr:rowOff>
    </xdr:to>
    <xdr:sp macro="" textlink="">
      <xdr:nvSpPr>
        <xdr:cNvPr id="4813" name="Arrow: Down 4812">
          <a:extLst>
            <a:ext uri="{FF2B5EF4-FFF2-40B4-BE49-F238E27FC236}">
              <a16:creationId xmlns:a16="http://schemas.microsoft.com/office/drawing/2014/main" id="{14748CBF-BE6B-4138-84F5-9D12C8FC7AC7}"/>
            </a:ext>
          </a:extLst>
        </xdr:cNvPr>
        <xdr:cNvSpPr/>
      </xdr:nvSpPr>
      <xdr:spPr>
        <a:xfrm rot="10800000">
          <a:off x="83362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640</xdr:row>
      <xdr:rowOff>0</xdr:rowOff>
    </xdr:from>
    <xdr:to>
      <xdr:col>39</xdr:col>
      <xdr:colOff>83820</xdr:colOff>
      <xdr:row>640</xdr:row>
      <xdr:rowOff>114300</xdr:rowOff>
    </xdr:to>
    <xdr:sp macro="" textlink="">
      <xdr:nvSpPr>
        <xdr:cNvPr id="4815" name="Arrow: Down 4814">
          <a:extLst>
            <a:ext uri="{FF2B5EF4-FFF2-40B4-BE49-F238E27FC236}">
              <a16:creationId xmlns:a16="http://schemas.microsoft.com/office/drawing/2014/main" id="{C2173079-885F-4F65-A1AD-193AC600F674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640</xdr:row>
      <xdr:rowOff>0</xdr:rowOff>
    </xdr:from>
    <xdr:to>
      <xdr:col>71</xdr:col>
      <xdr:colOff>83820</xdr:colOff>
      <xdr:row>640</xdr:row>
      <xdr:rowOff>114300</xdr:rowOff>
    </xdr:to>
    <xdr:sp macro="" textlink="">
      <xdr:nvSpPr>
        <xdr:cNvPr id="4816" name="Arrow: Down 4815">
          <a:extLst>
            <a:ext uri="{FF2B5EF4-FFF2-40B4-BE49-F238E27FC236}">
              <a16:creationId xmlns:a16="http://schemas.microsoft.com/office/drawing/2014/main" id="{8BA49162-2B1F-4FCC-B195-E88076FEF250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641</xdr:row>
      <xdr:rowOff>0</xdr:rowOff>
    </xdr:from>
    <xdr:to>
      <xdr:col>45</xdr:col>
      <xdr:colOff>83820</xdr:colOff>
      <xdr:row>641</xdr:row>
      <xdr:rowOff>114300</xdr:rowOff>
    </xdr:to>
    <xdr:sp macro="" textlink="">
      <xdr:nvSpPr>
        <xdr:cNvPr id="4824" name="Arrow: Down 4823">
          <a:extLst>
            <a:ext uri="{FF2B5EF4-FFF2-40B4-BE49-F238E27FC236}">
              <a16:creationId xmlns:a16="http://schemas.microsoft.com/office/drawing/2014/main" id="{D05C7EA9-096C-488C-B49D-A341CB7DDBCD}"/>
            </a:ext>
          </a:extLst>
        </xdr:cNvPr>
        <xdr:cNvSpPr/>
      </xdr:nvSpPr>
      <xdr:spPr>
        <a:xfrm>
          <a:off x="1340358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641</xdr:row>
      <xdr:rowOff>0</xdr:rowOff>
    </xdr:from>
    <xdr:to>
      <xdr:col>24</xdr:col>
      <xdr:colOff>83820</xdr:colOff>
      <xdr:row>641</xdr:row>
      <xdr:rowOff>114300</xdr:rowOff>
    </xdr:to>
    <xdr:sp macro="" textlink="">
      <xdr:nvSpPr>
        <xdr:cNvPr id="4825" name="Arrow: Down 4824">
          <a:extLst>
            <a:ext uri="{FF2B5EF4-FFF2-40B4-BE49-F238E27FC236}">
              <a16:creationId xmlns:a16="http://schemas.microsoft.com/office/drawing/2014/main" id="{F188ED9B-88F6-4368-9D76-C1A1EFC764D1}"/>
            </a:ext>
          </a:extLst>
        </xdr:cNvPr>
        <xdr:cNvSpPr/>
      </xdr:nvSpPr>
      <xdr:spPr>
        <a:xfrm>
          <a:off x="8336280" y="11732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641</xdr:row>
      <xdr:rowOff>0</xdr:rowOff>
    </xdr:from>
    <xdr:to>
      <xdr:col>5</xdr:col>
      <xdr:colOff>83820</xdr:colOff>
      <xdr:row>641</xdr:row>
      <xdr:rowOff>114300</xdr:rowOff>
    </xdr:to>
    <xdr:sp macro="" textlink="">
      <xdr:nvSpPr>
        <xdr:cNvPr id="4826" name="Arrow: Down 4825">
          <a:extLst>
            <a:ext uri="{FF2B5EF4-FFF2-40B4-BE49-F238E27FC236}">
              <a16:creationId xmlns:a16="http://schemas.microsoft.com/office/drawing/2014/main" id="{2DC955B7-4CBA-4174-BE61-89314A36A056}"/>
            </a:ext>
          </a:extLst>
        </xdr:cNvPr>
        <xdr:cNvSpPr/>
      </xdr:nvSpPr>
      <xdr:spPr>
        <a:xfrm>
          <a:off x="192786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641</xdr:row>
      <xdr:rowOff>0</xdr:rowOff>
    </xdr:from>
    <xdr:to>
      <xdr:col>11</xdr:col>
      <xdr:colOff>83820</xdr:colOff>
      <xdr:row>641</xdr:row>
      <xdr:rowOff>114300</xdr:rowOff>
    </xdr:to>
    <xdr:sp macro="" textlink="">
      <xdr:nvSpPr>
        <xdr:cNvPr id="4827" name="Arrow: Down 4826">
          <a:extLst>
            <a:ext uri="{FF2B5EF4-FFF2-40B4-BE49-F238E27FC236}">
              <a16:creationId xmlns:a16="http://schemas.microsoft.com/office/drawing/2014/main" id="{9EA571D8-9D4F-49FC-8888-FAC3B1DDC4B5}"/>
            </a:ext>
          </a:extLst>
        </xdr:cNvPr>
        <xdr:cNvSpPr/>
      </xdr:nvSpPr>
      <xdr:spPr>
        <a:xfrm>
          <a:off x="369570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641</xdr:row>
      <xdr:rowOff>0</xdr:rowOff>
    </xdr:from>
    <xdr:to>
      <xdr:col>39</xdr:col>
      <xdr:colOff>83820</xdr:colOff>
      <xdr:row>641</xdr:row>
      <xdr:rowOff>114300</xdr:rowOff>
    </xdr:to>
    <xdr:sp macro="" textlink="">
      <xdr:nvSpPr>
        <xdr:cNvPr id="4829" name="Arrow: Down 4828">
          <a:extLst>
            <a:ext uri="{FF2B5EF4-FFF2-40B4-BE49-F238E27FC236}">
              <a16:creationId xmlns:a16="http://schemas.microsoft.com/office/drawing/2014/main" id="{E375645D-1B0D-4C9D-A64B-C0E242984898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641</xdr:row>
      <xdr:rowOff>0</xdr:rowOff>
    </xdr:from>
    <xdr:to>
      <xdr:col>71</xdr:col>
      <xdr:colOff>83820</xdr:colOff>
      <xdr:row>641</xdr:row>
      <xdr:rowOff>114300</xdr:rowOff>
    </xdr:to>
    <xdr:sp macro="" textlink="">
      <xdr:nvSpPr>
        <xdr:cNvPr id="4830" name="Arrow: Down 4829">
          <a:extLst>
            <a:ext uri="{FF2B5EF4-FFF2-40B4-BE49-F238E27FC236}">
              <a16:creationId xmlns:a16="http://schemas.microsoft.com/office/drawing/2014/main" id="{81D23788-E168-4038-9135-22F6524C4244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641</xdr:row>
      <xdr:rowOff>0</xdr:rowOff>
    </xdr:from>
    <xdr:to>
      <xdr:col>60</xdr:col>
      <xdr:colOff>83820</xdr:colOff>
      <xdr:row>641</xdr:row>
      <xdr:rowOff>114300</xdr:rowOff>
    </xdr:to>
    <xdr:sp macro="" textlink="">
      <xdr:nvSpPr>
        <xdr:cNvPr id="4831" name="Arrow: Down 4830">
          <a:extLst>
            <a:ext uri="{FF2B5EF4-FFF2-40B4-BE49-F238E27FC236}">
              <a16:creationId xmlns:a16="http://schemas.microsoft.com/office/drawing/2014/main" id="{3350301E-93D4-4420-A073-590DFD3D3BCE}"/>
            </a:ext>
          </a:extLst>
        </xdr:cNvPr>
        <xdr:cNvSpPr/>
      </xdr:nvSpPr>
      <xdr:spPr>
        <a:xfrm rot="10800000">
          <a:off x="19080480" y="11732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642</xdr:row>
      <xdr:rowOff>0</xdr:rowOff>
    </xdr:from>
    <xdr:to>
      <xdr:col>71</xdr:col>
      <xdr:colOff>83820</xdr:colOff>
      <xdr:row>642</xdr:row>
      <xdr:rowOff>114300</xdr:rowOff>
    </xdr:to>
    <xdr:sp macro="" textlink="">
      <xdr:nvSpPr>
        <xdr:cNvPr id="4728" name="Arrow: Down 4727">
          <a:extLst>
            <a:ext uri="{FF2B5EF4-FFF2-40B4-BE49-F238E27FC236}">
              <a16:creationId xmlns:a16="http://schemas.microsoft.com/office/drawing/2014/main" id="{BB95DDB9-34AD-4B0F-B165-3F91F9ABA305}"/>
            </a:ext>
          </a:extLst>
        </xdr:cNvPr>
        <xdr:cNvSpPr/>
      </xdr:nvSpPr>
      <xdr:spPr>
        <a:xfrm>
          <a:off x="2180082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642</xdr:row>
      <xdr:rowOff>0</xdr:rowOff>
    </xdr:from>
    <xdr:to>
      <xdr:col>60</xdr:col>
      <xdr:colOff>83820</xdr:colOff>
      <xdr:row>642</xdr:row>
      <xdr:rowOff>114300</xdr:rowOff>
    </xdr:to>
    <xdr:sp macro="" textlink="">
      <xdr:nvSpPr>
        <xdr:cNvPr id="4729" name="Arrow: Down 4728">
          <a:extLst>
            <a:ext uri="{FF2B5EF4-FFF2-40B4-BE49-F238E27FC236}">
              <a16:creationId xmlns:a16="http://schemas.microsoft.com/office/drawing/2014/main" id="{30D3AD91-C955-4898-A565-4F6AB11F4DFD}"/>
            </a:ext>
          </a:extLst>
        </xdr:cNvPr>
        <xdr:cNvSpPr/>
      </xdr:nvSpPr>
      <xdr:spPr>
        <a:xfrm>
          <a:off x="1908048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642</xdr:row>
      <xdr:rowOff>0</xdr:rowOff>
    </xdr:from>
    <xdr:to>
      <xdr:col>5</xdr:col>
      <xdr:colOff>83820</xdr:colOff>
      <xdr:row>642</xdr:row>
      <xdr:rowOff>114300</xdr:rowOff>
    </xdr:to>
    <xdr:sp macro="" textlink="">
      <xdr:nvSpPr>
        <xdr:cNvPr id="4731" name="Arrow: Down 4730">
          <a:extLst>
            <a:ext uri="{FF2B5EF4-FFF2-40B4-BE49-F238E27FC236}">
              <a16:creationId xmlns:a16="http://schemas.microsoft.com/office/drawing/2014/main" id="{0CE613D5-B587-4905-96DD-71414A240E3F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642</xdr:row>
      <xdr:rowOff>0</xdr:rowOff>
    </xdr:from>
    <xdr:to>
      <xdr:col>11</xdr:col>
      <xdr:colOff>83820</xdr:colOff>
      <xdr:row>642</xdr:row>
      <xdr:rowOff>114300</xdr:rowOff>
    </xdr:to>
    <xdr:sp macro="" textlink="">
      <xdr:nvSpPr>
        <xdr:cNvPr id="4734" name="Arrow: Down 4733">
          <a:extLst>
            <a:ext uri="{FF2B5EF4-FFF2-40B4-BE49-F238E27FC236}">
              <a16:creationId xmlns:a16="http://schemas.microsoft.com/office/drawing/2014/main" id="{094717E4-FE1D-4DC7-880D-81191E73447C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642</xdr:row>
      <xdr:rowOff>0</xdr:rowOff>
    </xdr:from>
    <xdr:to>
      <xdr:col>24</xdr:col>
      <xdr:colOff>83820</xdr:colOff>
      <xdr:row>642</xdr:row>
      <xdr:rowOff>114300</xdr:rowOff>
    </xdr:to>
    <xdr:sp macro="" textlink="">
      <xdr:nvSpPr>
        <xdr:cNvPr id="4736" name="Arrow: Down 4735">
          <a:extLst>
            <a:ext uri="{FF2B5EF4-FFF2-40B4-BE49-F238E27FC236}">
              <a16:creationId xmlns:a16="http://schemas.microsoft.com/office/drawing/2014/main" id="{A2A31243-F798-49E7-B773-6D875C54FEA1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642</xdr:row>
      <xdr:rowOff>0</xdr:rowOff>
    </xdr:from>
    <xdr:to>
      <xdr:col>39</xdr:col>
      <xdr:colOff>83820</xdr:colOff>
      <xdr:row>642</xdr:row>
      <xdr:rowOff>114300</xdr:rowOff>
    </xdr:to>
    <xdr:sp macro="" textlink="">
      <xdr:nvSpPr>
        <xdr:cNvPr id="4740" name="Arrow: Down 4739">
          <a:extLst>
            <a:ext uri="{FF2B5EF4-FFF2-40B4-BE49-F238E27FC236}">
              <a16:creationId xmlns:a16="http://schemas.microsoft.com/office/drawing/2014/main" id="{6887C847-FD33-4E13-A433-194AFCF1F689}"/>
            </a:ext>
          </a:extLst>
        </xdr:cNvPr>
        <xdr:cNvSpPr/>
      </xdr:nvSpPr>
      <xdr:spPr>
        <a:xfrm rot="10800000">
          <a:off x="1154430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642</xdr:row>
      <xdr:rowOff>0</xdr:rowOff>
    </xdr:from>
    <xdr:to>
      <xdr:col>45</xdr:col>
      <xdr:colOff>83820</xdr:colOff>
      <xdr:row>642</xdr:row>
      <xdr:rowOff>114300</xdr:rowOff>
    </xdr:to>
    <xdr:sp macro="" textlink="">
      <xdr:nvSpPr>
        <xdr:cNvPr id="4753" name="Arrow: Down 4752">
          <a:extLst>
            <a:ext uri="{FF2B5EF4-FFF2-40B4-BE49-F238E27FC236}">
              <a16:creationId xmlns:a16="http://schemas.microsoft.com/office/drawing/2014/main" id="{9D824EEB-86B7-478C-86DC-6B2922DB4737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643</xdr:row>
      <xdr:rowOff>0</xdr:rowOff>
    </xdr:from>
    <xdr:to>
      <xdr:col>5</xdr:col>
      <xdr:colOff>83820</xdr:colOff>
      <xdr:row>643</xdr:row>
      <xdr:rowOff>114300</xdr:rowOff>
    </xdr:to>
    <xdr:sp macro="" textlink="">
      <xdr:nvSpPr>
        <xdr:cNvPr id="4767" name="Arrow: Down 4766">
          <a:extLst>
            <a:ext uri="{FF2B5EF4-FFF2-40B4-BE49-F238E27FC236}">
              <a16:creationId xmlns:a16="http://schemas.microsoft.com/office/drawing/2014/main" id="{B31C3ED1-3FDB-42AB-8D50-E3A4A2DB8535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643</xdr:row>
      <xdr:rowOff>0</xdr:rowOff>
    </xdr:from>
    <xdr:to>
      <xdr:col>11</xdr:col>
      <xdr:colOff>83820</xdr:colOff>
      <xdr:row>643</xdr:row>
      <xdr:rowOff>114300</xdr:rowOff>
    </xdr:to>
    <xdr:sp macro="" textlink="">
      <xdr:nvSpPr>
        <xdr:cNvPr id="4774" name="Arrow: Down 4773">
          <a:extLst>
            <a:ext uri="{FF2B5EF4-FFF2-40B4-BE49-F238E27FC236}">
              <a16:creationId xmlns:a16="http://schemas.microsoft.com/office/drawing/2014/main" id="{19CF55C7-68AE-43C3-895F-7C66163BE7B9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643</xdr:row>
      <xdr:rowOff>0</xdr:rowOff>
    </xdr:from>
    <xdr:to>
      <xdr:col>24</xdr:col>
      <xdr:colOff>83820</xdr:colOff>
      <xdr:row>643</xdr:row>
      <xdr:rowOff>114300</xdr:rowOff>
    </xdr:to>
    <xdr:sp macro="" textlink="">
      <xdr:nvSpPr>
        <xdr:cNvPr id="4778" name="Arrow: Down 4777">
          <a:extLst>
            <a:ext uri="{FF2B5EF4-FFF2-40B4-BE49-F238E27FC236}">
              <a16:creationId xmlns:a16="http://schemas.microsoft.com/office/drawing/2014/main" id="{5A16F488-98BE-4147-899D-18F01431AE94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643</xdr:row>
      <xdr:rowOff>0</xdr:rowOff>
    </xdr:from>
    <xdr:to>
      <xdr:col>45</xdr:col>
      <xdr:colOff>83820</xdr:colOff>
      <xdr:row>643</xdr:row>
      <xdr:rowOff>114300</xdr:rowOff>
    </xdr:to>
    <xdr:sp macro="" textlink="">
      <xdr:nvSpPr>
        <xdr:cNvPr id="4803" name="Arrow: Down 4802">
          <a:extLst>
            <a:ext uri="{FF2B5EF4-FFF2-40B4-BE49-F238E27FC236}">
              <a16:creationId xmlns:a16="http://schemas.microsoft.com/office/drawing/2014/main" id="{A80E84D3-444A-44C8-BA4B-AA1DC93A57A4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643</xdr:row>
      <xdr:rowOff>0</xdr:rowOff>
    </xdr:from>
    <xdr:to>
      <xdr:col>60</xdr:col>
      <xdr:colOff>83820</xdr:colOff>
      <xdr:row>643</xdr:row>
      <xdr:rowOff>114300</xdr:rowOff>
    </xdr:to>
    <xdr:sp macro="" textlink="">
      <xdr:nvSpPr>
        <xdr:cNvPr id="4814" name="Arrow: Down 4813">
          <a:extLst>
            <a:ext uri="{FF2B5EF4-FFF2-40B4-BE49-F238E27FC236}">
              <a16:creationId xmlns:a16="http://schemas.microsoft.com/office/drawing/2014/main" id="{EA2333DE-4F0B-4633-ADCF-8FD14194092D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644</xdr:row>
      <xdr:rowOff>0</xdr:rowOff>
    </xdr:from>
    <xdr:to>
      <xdr:col>5</xdr:col>
      <xdr:colOff>83820</xdr:colOff>
      <xdr:row>644</xdr:row>
      <xdr:rowOff>114300</xdr:rowOff>
    </xdr:to>
    <xdr:sp macro="" textlink="">
      <xdr:nvSpPr>
        <xdr:cNvPr id="4832" name="Arrow: Down 4831">
          <a:extLst>
            <a:ext uri="{FF2B5EF4-FFF2-40B4-BE49-F238E27FC236}">
              <a16:creationId xmlns:a16="http://schemas.microsoft.com/office/drawing/2014/main" id="{7233834D-2F11-4494-92AB-67816D0FDC1F}"/>
            </a:ext>
          </a:extLst>
        </xdr:cNvPr>
        <xdr:cNvSpPr/>
      </xdr:nvSpPr>
      <xdr:spPr>
        <a:xfrm rot="10800000">
          <a:off x="192786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644</xdr:row>
      <xdr:rowOff>0</xdr:rowOff>
    </xdr:from>
    <xdr:to>
      <xdr:col>11</xdr:col>
      <xdr:colOff>83820</xdr:colOff>
      <xdr:row>644</xdr:row>
      <xdr:rowOff>114300</xdr:rowOff>
    </xdr:to>
    <xdr:sp macro="" textlink="">
      <xdr:nvSpPr>
        <xdr:cNvPr id="4833" name="Arrow: Down 4832">
          <a:extLst>
            <a:ext uri="{FF2B5EF4-FFF2-40B4-BE49-F238E27FC236}">
              <a16:creationId xmlns:a16="http://schemas.microsoft.com/office/drawing/2014/main" id="{FEB9A3C8-BE78-4D87-886C-201D70FE1B6B}"/>
            </a:ext>
          </a:extLst>
        </xdr:cNvPr>
        <xdr:cNvSpPr/>
      </xdr:nvSpPr>
      <xdr:spPr>
        <a:xfrm rot="10800000">
          <a:off x="36957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644</xdr:row>
      <xdr:rowOff>0</xdr:rowOff>
    </xdr:from>
    <xdr:to>
      <xdr:col>24</xdr:col>
      <xdr:colOff>83820</xdr:colOff>
      <xdr:row>644</xdr:row>
      <xdr:rowOff>114300</xdr:rowOff>
    </xdr:to>
    <xdr:sp macro="" textlink="">
      <xdr:nvSpPr>
        <xdr:cNvPr id="4834" name="Arrow: Down 4833">
          <a:extLst>
            <a:ext uri="{FF2B5EF4-FFF2-40B4-BE49-F238E27FC236}">
              <a16:creationId xmlns:a16="http://schemas.microsoft.com/office/drawing/2014/main" id="{2C4D57FC-1FCA-4E4B-B003-92D96FA1E4D3}"/>
            </a:ext>
          </a:extLst>
        </xdr:cNvPr>
        <xdr:cNvSpPr/>
      </xdr:nvSpPr>
      <xdr:spPr>
        <a:xfrm rot="10800000">
          <a:off x="83362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644</xdr:row>
      <xdr:rowOff>0</xdr:rowOff>
    </xdr:from>
    <xdr:to>
      <xdr:col>39</xdr:col>
      <xdr:colOff>83820</xdr:colOff>
      <xdr:row>644</xdr:row>
      <xdr:rowOff>114300</xdr:rowOff>
    </xdr:to>
    <xdr:sp macro="" textlink="">
      <xdr:nvSpPr>
        <xdr:cNvPr id="4835" name="Arrow: Down 4834">
          <a:extLst>
            <a:ext uri="{FF2B5EF4-FFF2-40B4-BE49-F238E27FC236}">
              <a16:creationId xmlns:a16="http://schemas.microsoft.com/office/drawing/2014/main" id="{7172138E-554D-47F9-91F8-1699D94DD50C}"/>
            </a:ext>
          </a:extLst>
        </xdr:cNvPr>
        <xdr:cNvSpPr/>
      </xdr:nvSpPr>
      <xdr:spPr>
        <a:xfrm rot="10800000">
          <a:off x="11544300" y="117873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644</xdr:row>
      <xdr:rowOff>0</xdr:rowOff>
    </xdr:from>
    <xdr:to>
      <xdr:col>45</xdr:col>
      <xdr:colOff>83820</xdr:colOff>
      <xdr:row>644</xdr:row>
      <xdr:rowOff>114300</xdr:rowOff>
    </xdr:to>
    <xdr:sp macro="" textlink="">
      <xdr:nvSpPr>
        <xdr:cNvPr id="4836" name="Arrow: Down 4835">
          <a:extLst>
            <a:ext uri="{FF2B5EF4-FFF2-40B4-BE49-F238E27FC236}">
              <a16:creationId xmlns:a16="http://schemas.microsoft.com/office/drawing/2014/main" id="{165A5ABC-9211-4069-98A3-6CE3D8E8F690}"/>
            </a:ext>
          </a:extLst>
        </xdr:cNvPr>
        <xdr:cNvSpPr/>
      </xdr:nvSpPr>
      <xdr:spPr>
        <a:xfrm rot="10800000">
          <a:off x="13403580" y="11769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644</xdr:row>
      <xdr:rowOff>0</xdr:rowOff>
    </xdr:from>
    <xdr:to>
      <xdr:col>60</xdr:col>
      <xdr:colOff>83820</xdr:colOff>
      <xdr:row>644</xdr:row>
      <xdr:rowOff>114300</xdr:rowOff>
    </xdr:to>
    <xdr:sp macro="" textlink="">
      <xdr:nvSpPr>
        <xdr:cNvPr id="4837" name="Arrow: Down 4836">
          <a:extLst>
            <a:ext uri="{FF2B5EF4-FFF2-40B4-BE49-F238E27FC236}">
              <a16:creationId xmlns:a16="http://schemas.microsoft.com/office/drawing/2014/main" id="{FC7870F0-78E0-496A-8CA4-853DA74DA061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643</xdr:row>
      <xdr:rowOff>0</xdr:rowOff>
    </xdr:from>
    <xdr:to>
      <xdr:col>71</xdr:col>
      <xdr:colOff>83820</xdr:colOff>
      <xdr:row>643</xdr:row>
      <xdr:rowOff>114300</xdr:rowOff>
    </xdr:to>
    <xdr:sp macro="" textlink="">
      <xdr:nvSpPr>
        <xdr:cNvPr id="4839" name="Arrow: Down 4838">
          <a:extLst>
            <a:ext uri="{FF2B5EF4-FFF2-40B4-BE49-F238E27FC236}">
              <a16:creationId xmlns:a16="http://schemas.microsoft.com/office/drawing/2014/main" id="{C1C98E61-CA3B-4321-888D-8968640EE0C1}"/>
            </a:ext>
          </a:extLst>
        </xdr:cNvPr>
        <xdr:cNvSpPr/>
      </xdr:nvSpPr>
      <xdr:spPr>
        <a:xfrm rot="10800000">
          <a:off x="2180082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644</xdr:row>
      <xdr:rowOff>0</xdr:rowOff>
    </xdr:from>
    <xdr:to>
      <xdr:col>71</xdr:col>
      <xdr:colOff>83820</xdr:colOff>
      <xdr:row>644</xdr:row>
      <xdr:rowOff>114300</xdr:rowOff>
    </xdr:to>
    <xdr:sp macro="" textlink="">
      <xdr:nvSpPr>
        <xdr:cNvPr id="4840" name="Arrow: Down 4839">
          <a:extLst>
            <a:ext uri="{FF2B5EF4-FFF2-40B4-BE49-F238E27FC236}">
              <a16:creationId xmlns:a16="http://schemas.microsoft.com/office/drawing/2014/main" id="{4A06E3A1-CAE7-44CC-94AB-F66943B9C68A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643</xdr:row>
      <xdr:rowOff>0</xdr:rowOff>
    </xdr:from>
    <xdr:to>
      <xdr:col>39</xdr:col>
      <xdr:colOff>83820</xdr:colOff>
      <xdr:row>643</xdr:row>
      <xdr:rowOff>114300</xdr:rowOff>
    </xdr:to>
    <xdr:sp macro="" textlink="">
      <xdr:nvSpPr>
        <xdr:cNvPr id="4841" name="Arrow: Down 4840">
          <a:extLst>
            <a:ext uri="{FF2B5EF4-FFF2-40B4-BE49-F238E27FC236}">
              <a16:creationId xmlns:a16="http://schemas.microsoft.com/office/drawing/2014/main" id="{FAFEE59D-BADA-49B6-8970-70CE604EF85D}"/>
            </a:ext>
          </a:extLst>
        </xdr:cNvPr>
        <xdr:cNvSpPr/>
      </xdr:nvSpPr>
      <xdr:spPr>
        <a:xfrm>
          <a:off x="115443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645</xdr:row>
      <xdr:rowOff>0</xdr:rowOff>
    </xdr:from>
    <xdr:to>
      <xdr:col>5</xdr:col>
      <xdr:colOff>83820</xdr:colOff>
      <xdr:row>645</xdr:row>
      <xdr:rowOff>114300</xdr:rowOff>
    </xdr:to>
    <xdr:sp macro="" textlink="">
      <xdr:nvSpPr>
        <xdr:cNvPr id="4849" name="Arrow: Down 4848">
          <a:extLst>
            <a:ext uri="{FF2B5EF4-FFF2-40B4-BE49-F238E27FC236}">
              <a16:creationId xmlns:a16="http://schemas.microsoft.com/office/drawing/2014/main" id="{3A6933DC-7F1D-49DD-B27B-31CD5B293B34}"/>
            </a:ext>
          </a:extLst>
        </xdr:cNvPr>
        <xdr:cNvSpPr/>
      </xdr:nvSpPr>
      <xdr:spPr>
        <a:xfrm rot="10800000">
          <a:off x="192786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645</xdr:row>
      <xdr:rowOff>0</xdr:rowOff>
    </xdr:from>
    <xdr:to>
      <xdr:col>11</xdr:col>
      <xdr:colOff>83820</xdr:colOff>
      <xdr:row>645</xdr:row>
      <xdr:rowOff>114300</xdr:rowOff>
    </xdr:to>
    <xdr:sp macro="" textlink="">
      <xdr:nvSpPr>
        <xdr:cNvPr id="4850" name="Arrow: Down 4849">
          <a:extLst>
            <a:ext uri="{FF2B5EF4-FFF2-40B4-BE49-F238E27FC236}">
              <a16:creationId xmlns:a16="http://schemas.microsoft.com/office/drawing/2014/main" id="{F275CA75-539E-40C8-A83F-287A700F5A3E}"/>
            </a:ext>
          </a:extLst>
        </xdr:cNvPr>
        <xdr:cNvSpPr/>
      </xdr:nvSpPr>
      <xdr:spPr>
        <a:xfrm rot="10800000">
          <a:off x="369570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645</xdr:row>
      <xdr:rowOff>0</xdr:rowOff>
    </xdr:from>
    <xdr:to>
      <xdr:col>60</xdr:col>
      <xdr:colOff>83820</xdr:colOff>
      <xdr:row>645</xdr:row>
      <xdr:rowOff>114300</xdr:rowOff>
    </xdr:to>
    <xdr:sp macro="" textlink="">
      <xdr:nvSpPr>
        <xdr:cNvPr id="4854" name="Arrow: Down 4853">
          <a:extLst>
            <a:ext uri="{FF2B5EF4-FFF2-40B4-BE49-F238E27FC236}">
              <a16:creationId xmlns:a16="http://schemas.microsoft.com/office/drawing/2014/main" id="{2F6E9726-F994-4975-8420-30A4A665AD65}"/>
            </a:ext>
          </a:extLst>
        </xdr:cNvPr>
        <xdr:cNvSpPr/>
      </xdr:nvSpPr>
      <xdr:spPr>
        <a:xfrm rot="10800000">
          <a:off x="1908048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645</xdr:row>
      <xdr:rowOff>0</xdr:rowOff>
    </xdr:from>
    <xdr:to>
      <xdr:col>71</xdr:col>
      <xdr:colOff>83820</xdr:colOff>
      <xdr:row>645</xdr:row>
      <xdr:rowOff>114300</xdr:rowOff>
    </xdr:to>
    <xdr:sp macro="" textlink="">
      <xdr:nvSpPr>
        <xdr:cNvPr id="4855" name="Arrow: Down 4854">
          <a:extLst>
            <a:ext uri="{FF2B5EF4-FFF2-40B4-BE49-F238E27FC236}">
              <a16:creationId xmlns:a16="http://schemas.microsoft.com/office/drawing/2014/main" id="{A719CB6C-8E59-4D48-99C4-9A91AE980F7D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645</xdr:row>
      <xdr:rowOff>0</xdr:rowOff>
    </xdr:from>
    <xdr:to>
      <xdr:col>24</xdr:col>
      <xdr:colOff>83820</xdr:colOff>
      <xdr:row>645</xdr:row>
      <xdr:rowOff>114300</xdr:rowOff>
    </xdr:to>
    <xdr:sp macro="" textlink="">
      <xdr:nvSpPr>
        <xdr:cNvPr id="4857" name="Arrow: Down 4856">
          <a:extLst>
            <a:ext uri="{FF2B5EF4-FFF2-40B4-BE49-F238E27FC236}">
              <a16:creationId xmlns:a16="http://schemas.microsoft.com/office/drawing/2014/main" id="{8CFF7590-B4F5-4107-9D68-6ED78266E2A9}"/>
            </a:ext>
          </a:extLst>
        </xdr:cNvPr>
        <xdr:cNvSpPr/>
      </xdr:nvSpPr>
      <xdr:spPr>
        <a:xfrm>
          <a:off x="8336280" y="11805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645</xdr:row>
      <xdr:rowOff>0</xdr:rowOff>
    </xdr:from>
    <xdr:to>
      <xdr:col>39</xdr:col>
      <xdr:colOff>83820</xdr:colOff>
      <xdr:row>645</xdr:row>
      <xdr:rowOff>114300</xdr:rowOff>
    </xdr:to>
    <xdr:sp macro="" textlink="">
      <xdr:nvSpPr>
        <xdr:cNvPr id="4859" name="Arrow: Down 4858">
          <a:extLst>
            <a:ext uri="{FF2B5EF4-FFF2-40B4-BE49-F238E27FC236}">
              <a16:creationId xmlns:a16="http://schemas.microsoft.com/office/drawing/2014/main" id="{E81A2491-59CE-4758-B271-DD92B87383BD}"/>
            </a:ext>
          </a:extLst>
        </xdr:cNvPr>
        <xdr:cNvSpPr/>
      </xdr:nvSpPr>
      <xdr:spPr>
        <a:xfrm>
          <a:off x="115443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646</xdr:row>
      <xdr:rowOff>0</xdr:rowOff>
    </xdr:from>
    <xdr:to>
      <xdr:col>5</xdr:col>
      <xdr:colOff>83820</xdr:colOff>
      <xdr:row>646</xdr:row>
      <xdr:rowOff>114300</xdr:rowOff>
    </xdr:to>
    <xdr:sp macro="" textlink="">
      <xdr:nvSpPr>
        <xdr:cNvPr id="4867" name="Arrow: Down 4866">
          <a:extLst>
            <a:ext uri="{FF2B5EF4-FFF2-40B4-BE49-F238E27FC236}">
              <a16:creationId xmlns:a16="http://schemas.microsoft.com/office/drawing/2014/main" id="{D2BA0F46-3043-44C0-A800-236AA66FF5AB}"/>
            </a:ext>
          </a:extLst>
        </xdr:cNvPr>
        <xdr:cNvSpPr/>
      </xdr:nvSpPr>
      <xdr:spPr>
        <a:xfrm rot="10800000">
          <a:off x="192786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646</xdr:row>
      <xdr:rowOff>0</xdr:rowOff>
    </xdr:from>
    <xdr:to>
      <xdr:col>11</xdr:col>
      <xdr:colOff>83820</xdr:colOff>
      <xdr:row>646</xdr:row>
      <xdr:rowOff>114300</xdr:rowOff>
    </xdr:to>
    <xdr:sp macro="" textlink="">
      <xdr:nvSpPr>
        <xdr:cNvPr id="4868" name="Arrow: Down 4867">
          <a:extLst>
            <a:ext uri="{FF2B5EF4-FFF2-40B4-BE49-F238E27FC236}">
              <a16:creationId xmlns:a16="http://schemas.microsoft.com/office/drawing/2014/main" id="{8C4F1CD5-E3B6-4B22-A343-4B522D660DC8}"/>
            </a:ext>
          </a:extLst>
        </xdr:cNvPr>
        <xdr:cNvSpPr/>
      </xdr:nvSpPr>
      <xdr:spPr>
        <a:xfrm rot="10800000">
          <a:off x="36957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646</xdr:row>
      <xdr:rowOff>0</xdr:rowOff>
    </xdr:from>
    <xdr:to>
      <xdr:col>71</xdr:col>
      <xdr:colOff>83820</xdr:colOff>
      <xdr:row>646</xdr:row>
      <xdr:rowOff>114300</xdr:rowOff>
    </xdr:to>
    <xdr:sp macro="" textlink="">
      <xdr:nvSpPr>
        <xdr:cNvPr id="4871" name="Arrow: Down 4870">
          <a:extLst>
            <a:ext uri="{FF2B5EF4-FFF2-40B4-BE49-F238E27FC236}">
              <a16:creationId xmlns:a16="http://schemas.microsoft.com/office/drawing/2014/main" id="{9FBCC51E-62F5-4474-88AB-334CE74B7076}"/>
            </a:ext>
          </a:extLst>
        </xdr:cNvPr>
        <xdr:cNvSpPr/>
      </xdr:nvSpPr>
      <xdr:spPr>
        <a:xfrm rot="10800000">
          <a:off x="2180082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646</xdr:row>
      <xdr:rowOff>0</xdr:rowOff>
    </xdr:from>
    <xdr:to>
      <xdr:col>39</xdr:col>
      <xdr:colOff>83820</xdr:colOff>
      <xdr:row>646</xdr:row>
      <xdr:rowOff>114300</xdr:rowOff>
    </xdr:to>
    <xdr:sp macro="" textlink="">
      <xdr:nvSpPr>
        <xdr:cNvPr id="4877" name="Arrow: Down 4876">
          <a:extLst>
            <a:ext uri="{FF2B5EF4-FFF2-40B4-BE49-F238E27FC236}">
              <a16:creationId xmlns:a16="http://schemas.microsoft.com/office/drawing/2014/main" id="{30A4E92E-9391-486F-8ADA-0F6E778CD4C5}"/>
            </a:ext>
          </a:extLst>
        </xdr:cNvPr>
        <xdr:cNvSpPr/>
      </xdr:nvSpPr>
      <xdr:spPr>
        <a:xfrm rot="10800000">
          <a:off x="11544300" y="11823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646</xdr:row>
      <xdr:rowOff>0</xdr:rowOff>
    </xdr:from>
    <xdr:to>
      <xdr:col>24</xdr:col>
      <xdr:colOff>83820</xdr:colOff>
      <xdr:row>646</xdr:row>
      <xdr:rowOff>114300</xdr:rowOff>
    </xdr:to>
    <xdr:sp macro="" textlink="">
      <xdr:nvSpPr>
        <xdr:cNvPr id="4879" name="Arrow: Down 4878">
          <a:extLst>
            <a:ext uri="{FF2B5EF4-FFF2-40B4-BE49-F238E27FC236}">
              <a16:creationId xmlns:a16="http://schemas.microsoft.com/office/drawing/2014/main" id="{EB0D4601-DED4-475D-9EB6-FA6640E196D9}"/>
            </a:ext>
          </a:extLst>
        </xdr:cNvPr>
        <xdr:cNvSpPr/>
      </xdr:nvSpPr>
      <xdr:spPr>
        <a:xfrm rot="10800000">
          <a:off x="83362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647</xdr:row>
      <xdr:rowOff>0</xdr:rowOff>
    </xdr:from>
    <xdr:to>
      <xdr:col>71</xdr:col>
      <xdr:colOff>83820</xdr:colOff>
      <xdr:row>647</xdr:row>
      <xdr:rowOff>114300</xdr:rowOff>
    </xdr:to>
    <xdr:sp macro="" textlink="">
      <xdr:nvSpPr>
        <xdr:cNvPr id="4883" name="Arrow: Down 4882">
          <a:extLst>
            <a:ext uri="{FF2B5EF4-FFF2-40B4-BE49-F238E27FC236}">
              <a16:creationId xmlns:a16="http://schemas.microsoft.com/office/drawing/2014/main" id="{FBFD0587-BF8D-40D4-B9B9-8EC2A4F770BA}"/>
            </a:ext>
          </a:extLst>
        </xdr:cNvPr>
        <xdr:cNvSpPr/>
      </xdr:nvSpPr>
      <xdr:spPr>
        <a:xfrm rot="10800000">
          <a:off x="2180082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647</xdr:row>
      <xdr:rowOff>0</xdr:rowOff>
    </xdr:from>
    <xdr:to>
      <xdr:col>60</xdr:col>
      <xdr:colOff>83820</xdr:colOff>
      <xdr:row>647</xdr:row>
      <xdr:rowOff>114300</xdr:rowOff>
    </xdr:to>
    <xdr:sp macro="" textlink="">
      <xdr:nvSpPr>
        <xdr:cNvPr id="4888" name="Arrow: Down 4887">
          <a:extLst>
            <a:ext uri="{FF2B5EF4-FFF2-40B4-BE49-F238E27FC236}">
              <a16:creationId xmlns:a16="http://schemas.microsoft.com/office/drawing/2014/main" id="{9822D772-55D6-4D99-A6ED-6EC66C7E3E94}"/>
            </a:ext>
          </a:extLst>
        </xdr:cNvPr>
        <xdr:cNvSpPr/>
      </xdr:nvSpPr>
      <xdr:spPr>
        <a:xfrm rot="10800000">
          <a:off x="190804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646</xdr:row>
      <xdr:rowOff>0</xdr:rowOff>
    </xdr:from>
    <xdr:to>
      <xdr:col>60</xdr:col>
      <xdr:colOff>83820</xdr:colOff>
      <xdr:row>646</xdr:row>
      <xdr:rowOff>114300</xdr:rowOff>
    </xdr:to>
    <xdr:sp macro="" textlink="">
      <xdr:nvSpPr>
        <xdr:cNvPr id="4890" name="Arrow: Down 4889">
          <a:extLst>
            <a:ext uri="{FF2B5EF4-FFF2-40B4-BE49-F238E27FC236}">
              <a16:creationId xmlns:a16="http://schemas.microsoft.com/office/drawing/2014/main" id="{ADD2CAD9-4CD4-4779-984B-480A52968A6F}"/>
            </a:ext>
          </a:extLst>
        </xdr:cNvPr>
        <xdr:cNvSpPr/>
      </xdr:nvSpPr>
      <xdr:spPr>
        <a:xfrm>
          <a:off x="19080480" y="11823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647</xdr:row>
      <xdr:rowOff>0</xdr:rowOff>
    </xdr:from>
    <xdr:to>
      <xdr:col>5</xdr:col>
      <xdr:colOff>83820</xdr:colOff>
      <xdr:row>647</xdr:row>
      <xdr:rowOff>114300</xdr:rowOff>
    </xdr:to>
    <xdr:sp macro="" textlink="">
      <xdr:nvSpPr>
        <xdr:cNvPr id="4892" name="Arrow: Down 4891">
          <a:extLst>
            <a:ext uri="{FF2B5EF4-FFF2-40B4-BE49-F238E27FC236}">
              <a16:creationId xmlns:a16="http://schemas.microsoft.com/office/drawing/2014/main" id="{33210A91-31B5-4F6A-B409-A589147AE346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647</xdr:row>
      <xdr:rowOff>0</xdr:rowOff>
    </xdr:from>
    <xdr:to>
      <xdr:col>11</xdr:col>
      <xdr:colOff>83820</xdr:colOff>
      <xdr:row>647</xdr:row>
      <xdr:rowOff>114300</xdr:rowOff>
    </xdr:to>
    <xdr:sp macro="" textlink="">
      <xdr:nvSpPr>
        <xdr:cNvPr id="4894" name="Arrow: Down 4893">
          <a:extLst>
            <a:ext uri="{FF2B5EF4-FFF2-40B4-BE49-F238E27FC236}">
              <a16:creationId xmlns:a16="http://schemas.microsoft.com/office/drawing/2014/main" id="{C9CC708D-ECD6-4D23-A3D1-EE525E3F3B4C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647</xdr:row>
      <xdr:rowOff>0</xdr:rowOff>
    </xdr:from>
    <xdr:to>
      <xdr:col>24</xdr:col>
      <xdr:colOff>83820</xdr:colOff>
      <xdr:row>647</xdr:row>
      <xdr:rowOff>114300</xdr:rowOff>
    </xdr:to>
    <xdr:sp macro="" textlink="">
      <xdr:nvSpPr>
        <xdr:cNvPr id="4895" name="Arrow: Down 4894">
          <a:extLst>
            <a:ext uri="{FF2B5EF4-FFF2-40B4-BE49-F238E27FC236}">
              <a16:creationId xmlns:a16="http://schemas.microsoft.com/office/drawing/2014/main" id="{25B6F94F-D4BC-4645-A6B0-BEEA86BA9286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647</xdr:row>
      <xdr:rowOff>0</xdr:rowOff>
    </xdr:from>
    <xdr:to>
      <xdr:col>39</xdr:col>
      <xdr:colOff>83820</xdr:colOff>
      <xdr:row>647</xdr:row>
      <xdr:rowOff>114300</xdr:rowOff>
    </xdr:to>
    <xdr:sp macro="" textlink="">
      <xdr:nvSpPr>
        <xdr:cNvPr id="4896" name="Arrow: Down 4895">
          <a:extLst>
            <a:ext uri="{FF2B5EF4-FFF2-40B4-BE49-F238E27FC236}">
              <a16:creationId xmlns:a16="http://schemas.microsoft.com/office/drawing/2014/main" id="{E1FF631D-EF37-425F-A46B-DEF53C765AAC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648</xdr:row>
      <xdr:rowOff>0</xdr:rowOff>
    </xdr:from>
    <xdr:to>
      <xdr:col>71</xdr:col>
      <xdr:colOff>83820</xdr:colOff>
      <xdr:row>648</xdr:row>
      <xdr:rowOff>114300</xdr:rowOff>
    </xdr:to>
    <xdr:sp macro="" textlink="">
      <xdr:nvSpPr>
        <xdr:cNvPr id="4898" name="Arrow: Down 4897">
          <a:extLst>
            <a:ext uri="{FF2B5EF4-FFF2-40B4-BE49-F238E27FC236}">
              <a16:creationId xmlns:a16="http://schemas.microsoft.com/office/drawing/2014/main" id="{FE1BA149-8502-4FF6-A351-F0FFEE566CAF}"/>
            </a:ext>
          </a:extLst>
        </xdr:cNvPr>
        <xdr:cNvSpPr/>
      </xdr:nvSpPr>
      <xdr:spPr>
        <a:xfrm rot="10800000">
          <a:off x="2180082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648</xdr:row>
      <xdr:rowOff>0</xdr:rowOff>
    </xdr:from>
    <xdr:to>
      <xdr:col>5</xdr:col>
      <xdr:colOff>83820</xdr:colOff>
      <xdr:row>648</xdr:row>
      <xdr:rowOff>114300</xdr:rowOff>
    </xdr:to>
    <xdr:sp macro="" textlink="">
      <xdr:nvSpPr>
        <xdr:cNvPr id="4900" name="Arrow: Down 4899">
          <a:extLst>
            <a:ext uri="{FF2B5EF4-FFF2-40B4-BE49-F238E27FC236}">
              <a16:creationId xmlns:a16="http://schemas.microsoft.com/office/drawing/2014/main" id="{081F84DB-FD32-40F4-B3E3-5408F3621D9C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648</xdr:row>
      <xdr:rowOff>0</xdr:rowOff>
    </xdr:from>
    <xdr:to>
      <xdr:col>11</xdr:col>
      <xdr:colOff>83820</xdr:colOff>
      <xdr:row>648</xdr:row>
      <xdr:rowOff>114300</xdr:rowOff>
    </xdr:to>
    <xdr:sp macro="" textlink="">
      <xdr:nvSpPr>
        <xdr:cNvPr id="4901" name="Arrow: Down 4900">
          <a:extLst>
            <a:ext uri="{FF2B5EF4-FFF2-40B4-BE49-F238E27FC236}">
              <a16:creationId xmlns:a16="http://schemas.microsoft.com/office/drawing/2014/main" id="{12EB2EC3-B6AF-4274-80DE-A25D6A3B3031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648</xdr:row>
      <xdr:rowOff>0</xdr:rowOff>
    </xdr:from>
    <xdr:to>
      <xdr:col>24</xdr:col>
      <xdr:colOff>83820</xdr:colOff>
      <xdr:row>648</xdr:row>
      <xdr:rowOff>114300</xdr:rowOff>
    </xdr:to>
    <xdr:sp macro="" textlink="">
      <xdr:nvSpPr>
        <xdr:cNvPr id="4902" name="Arrow: Down 4901">
          <a:extLst>
            <a:ext uri="{FF2B5EF4-FFF2-40B4-BE49-F238E27FC236}">
              <a16:creationId xmlns:a16="http://schemas.microsoft.com/office/drawing/2014/main" id="{338AE814-E9AC-4EC3-819A-808E6C53D23A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648</xdr:row>
      <xdr:rowOff>0</xdr:rowOff>
    </xdr:from>
    <xdr:to>
      <xdr:col>39</xdr:col>
      <xdr:colOff>83820</xdr:colOff>
      <xdr:row>648</xdr:row>
      <xdr:rowOff>114300</xdr:rowOff>
    </xdr:to>
    <xdr:sp macro="" textlink="">
      <xdr:nvSpPr>
        <xdr:cNvPr id="4903" name="Arrow: Down 4902">
          <a:extLst>
            <a:ext uri="{FF2B5EF4-FFF2-40B4-BE49-F238E27FC236}">
              <a16:creationId xmlns:a16="http://schemas.microsoft.com/office/drawing/2014/main" id="{18CAE497-A9DE-4D15-9C4A-A07BD7FC5810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648</xdr:row>
      <xdr:rowOff>0</xdr:rowOff>
    </xdr:from>
    <xdr:to>
      <xdr:col>60</xdr:col>
      <xdr:colOff>83820</xdr:colOff>
      <xdr:row>648</xdr:row>
      <xdr:rowOff>114300</xdr:rowOff>
    </xdr:to>
    <xdr:sp macro="" textlink="">
      <xdr:nvSpPr>
        <xdr:cNvPr id="4905" name="Arrow: Down 4904">
          <a:extLst>
            <a:ext uri="{FF2B5EF4-FFF2-40B4-BE49-F238E27FC236}">
              <a16:creationId xmlns:a16="http://schemas.microsoft.com/office/drawing/2014/main" id="{589882B2-0380-4A2D-B140-9B14C83D80F0}"/>
            </a:ext>
          </a:extLst>
        </xdr:cNvPr>
        <xdr:cNvSpPr/>
      </xdr:nvSpPr>
      <xdr:spPr>
        <a:xfrm>
          <a:off x="19080480" y="1186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645</xdr:row>
      <xdr:rowOff>0</xdr:rowOff>
    </xdr:from>
    <xdr:to>
      <xdr:col>45</xdr:col>
      <xdr:colOff>83820</xdr:colOff>
      <xdr:row>645</xdr:row>
      <xdr:rowOff>114300</xdr:rowOff>
    </xdr:to>
    <xdr:sp macro="" textlink="">
      <xdr:nvSpPr>
        <xdr:cNvPr id="4906" name="Arrow: Down 4905">
          <a:extLst>
            <a:ext uri="{FF2B5EF4-FFF2-40B4-BE49-F238E27FC236}">
              <a16:creationId xmlns:a16="http://schemas.microsoft.com/office/drawing/2014/main" id="{09652922-8875-47E1-B844-0314F9C812FF}"/>
            </a:ext>
          </a:extLst>
        </xdr:cNvPr>
        <xdr:cNvSpPr/>
      </xdr:nvSpPr>
      <xdr:spPr>
        <a:xfrm>
          <a:off x="1340358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646</xdr:row>
      <xdr:rowOff>0</xdr:rowOff>
    </xdr:from>
    <xdr:to>
      <xdr:col>45</xdr:col>
      <xdr:colOff>83820</xdr:colOff>
      <xdr:row>646</xdr:row>
      <xdr:rowOff>114300</xdr:rowOff>
    </xdr:to>
    <xdr:sp macro="" textlink="">
      <xdr:nvSpPr>
        <xdr:cNvPr id="4908" name="Arrow: Down 4907">
          <a:extLst>
            <a:ext uri="{FF2B5EF4-FFF2-40B4-BE49-F238E27FC236}">
              <a16:creationId xmlns:a16="http://schemas.microsoft.com/office/drawing/2014/main" id="{841BB086-CDBC-4AD3-BA20-F00328E3AD32}"/>
            </a:ext>
          </a:extLst>
        </xdr:cNvPr>
        <xdr:cNvSpPr/>
      </xdr:nvSpPr>
      <xdr:spPr>
        <a:xfrm>
          <a:off x="134035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647</xdr:row>
      <xdr:rowOff>0</xdr:rowOff>
    </xdr:from>
    <xdr:to>
      <xdr:col>45</xdr:col>
      <xdr:colOff>83820</xdr:colOff>
      <xdr:row>647</xdr:row>
      <xdr:rowOff>114300</xdr:rowOff>
    </xdr:to>
    <xdr:sp macro="" textlink="">
      <xdr:nvSpPr>
        <xdr:cNvPr id="4911" name="Arrow: Down 4910">
          <a:extLst>
            <a:ext uri="{FF2B5EF4-FFF2-40B4-BE49-F238E27FC236}">
              <a16:creationId xmlns:a16="http://schemas.microsoft.com/office/drawing/2014/main" id="{0451BEFE-5707-467A-9545-C0EC4156B77B}"/>
            </a:ext>
          </a:extLst>
        </xdr:cNvPr>
        <xdr:cNvSpPr/>
      </xdr:nvSpPr>
      <xdr:spPr>
        <a:xfrm>
          <a:off x="134035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648</xdr:row>
      <xdr:rowOff>0</xdr:rowOff>
    </xdr:from>
    <xdr:to>
      <xdr:col>45</xdr:col>
      <xdr:colOff>83820</xdr:colOff>
      <xdr:row>648</xdr:row>
      <xdr:rowOff>114300</xdr:rowOff>
    </xdr:to>
    <xdr:sp macro="" textlink="">
      <xdr:nvSpPr>
        <xdr:cNvPr id="4914" name="Arrow: Down 4913">
          <a:extLst>
            <a:ext uri="{FF2B5EF4-FFF2-40B4-BE49-F238E27FC236}">
              <a16:creationId xmlns:a16="http://schemas.microsoft.com/office/drawing/2014/main" id="{EAC26794-A243-4238-92CE-CE88C9EEA193}"/>
            </a:ext>
          </a:extLst>
        </xdr:cNvPr>
        <xdr:cNvSpPr/>
      </xdr:nvSpPr>
      <xdr:spPr>
        <a:xfrm>
          <a:off x="13403580" y="11860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649</xdr:row>
      <xdr:rowOff>0</xdr:rowOff>
    </xdr:from>
    <xdr:to>
      <xdr:col>60</xdr:col>
      <xdr:colOff>83820</xdr:colOff>
      <xdr:row>649</xdr:row>
      <xdr:rowOff>114300</xdr:rowOff>
    </xdr:to>
    <xdr:sp macro="" textlink="">
      <xdr:nvSpPr>
        <xdr:cNvPr id="4920" name="Arrow: Down 4919">
          <a:extLst>
            <a:ext uri="{FF2B5EF4-FFF2-40B4-BE49-F238E27FC236}">
              <a16:creationId xmlns:a16="http://schemas.microsoft.com/office/drawing/2014/main" id="{C7937D0F-9A09-475C-80B2-1E5F022B8527}"/>
            </a:ext>
          </a:extLst>
        </xdr:cNvPr>
        <xdr:cNvSpPr/>
      </xdr:nvSpPr>
      <xdr:spPr>
        <a:xfrm>
          <a:off x="19080480" y="1186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649</xdr:row>
      <xdr:rowOff>0</xdr:rowOff>
    </xdr:from>
    <xdr:to>
      <xdr:col>71</xdr:col>
      <xdr:colOff>83820</xdr:colOff>
      <xdr:row>649</xdr:row>
      <xdr:rowOff>114300</xdr:rowOff>
    </xdr:to>
    <xdr:sp macro="" textlink="">
      <xdr:nvSpPr>
        <xdr:cNvPr id="4922" name="Arrow: Down 4921">
          <a:extLst>
            <a:ext uri="{FF2B5EF4-FFF2-40B4-BE49-F238E27FC236}">
              <a16:creationId xmlns:a16="http://schemas.microsoft.com/office/drawing/2014/main" id="{0F9D2EF1-4C37-4369-8519-9748DE97C1B7}"/>
            </a:ext>
          </a:extLst>
        </xdr:cNvPr>
        <xdr:cNvSpPr/>
      </xdr:nvSpPr>
      <xdr:spPr>
        <a:xfrm>
          <a:off x="21960840" y="11878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649</xdr:row>
      <xdr:rowOff>0</xdr:rowOff>
    </xdr:from>
    <xdr:to>
      <xdr:col>5</xdr:col>
      <xdr:colOff>83820</xdr:colOff>
      <xdr:row>649</xdr:row>
      <xdr:rowOff>114300</xdr:rowOff>
    </xdr:to>
    <xdr:sp macro="" textlink="">
      <xdr:nvSpPr>
        <xdr:cNvPr id="4924" name="Arrow: Down 4923">
          <a:extLst>
            <a:ext uri="{FF2B5EF4-FFF2-40B4-BE49-F238E27FC236}">
              <a16:creationId xmlns:a16="http://schemas.microsoft.com/office/drawing/2014/main" id="{F285DF23-65AD-481E-9AEE-155594C503A6}"/>
            </a:ext>
          </a:extLst>
        </xdr:cNvPr>
        <xdr:cNvSpPr/>
      </xdr:nvSpPr>
      <xdr:spPr>
        <a:xfrm rot="10800000">
          <a:off x="192786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649</xdr:row>
      <xdr:rowOff>0</xdr:rowOff>
    </xdr:from>
    <xdr:to>
      <xdr:col>11</xdr:col>
      <xdr:colOff>83820</xdr:colOff>
      <xdr:row>649</xdr:row>
      <xdr:rowOff>114300</xdr:rowOff>
    </xdr:to>
    <xdr:sp macro="" textlink="">
      <xdr:nvSpPr>
        <xdr:cNvPr id="4927" name="Arrow: Down 4926">
          <a:extLst>
            <a:ext uri="{FF2B5EF4-FFF2-40B4-BE49-F238E27FC236}">
              <a16:creationId xmlns:a16="http://schemas.microsoft.com/office/drawing/2014/main" id="{C011B785-9609-4579-8D79-44263DACB123}"/>
            </a:ext>
          </a:extLst>
        </xdr:cNvPr>
        <xdr:cNvSpPr/>
      </xdr:nvSpPr>
      <xdr:spPr>
        <a:xfrm rot="10800000">
          <a:off x="369570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649</xdr:row>
      <xdr:rowOff>0</xdr:rowOff>
    </xdr:from>
    <xdr:to>
      <xdr:col>24</xdr:col>
      <xdr:colOff>83820</xdr:colOff>
      <xdr:row>649</xdr:row>
      <xdr:rowOff>114300</xdr:rowOff>
    </xdr:to>
    <xdr:sp macro="" textlink="">
      <xdr:nvSpPr>
        <xdr:cNvPr id="4929" name="Arrow: Down 4928">
          <a:extLst>
            <a:ext uri="{FF2B5EF4-FFF2-40B4-BE49-F238E27FC236}">
              <a16:creationId xmlns:a16="http://schemas.microsoft.com/office/drawing/2014/main" id="{793AB05E-109C-406E-9D65-7F0DCD20DFE2}"/>
            </a:ext>
          </a:extLst>
        </xdr:cNvPr>
        <xdr:cNvSpPr/>
      </xdr:nvSpPr>
      <xdr:spPr>
        <a:xfrm rot="10800000">
          <a:off x="833628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649</xdr:row>
      <xdr:rowOff>0</xdr:rowOff>
    </xdr:from>
    <xdr:to>
      <xdr:col>39</xdr:col>
      <xdr:colOff>83820</xdr:colOff>
      <xdr:row>649</xdr:row>
      <xdr:rowOff>114300</xdr:rowOff>
    </xdr:to>
    <xdr:sp macro="" textlink="">
      <xdr:nvSpPr>
        <xdr:cNvPr id="4930" name="Arrow: Down 4929">
          <a:extLst>
            <a:ext uri="{FF2B5EF4-FFF2-40B4-BE49-F238E27FC236}">
              <a16:creationId xmlns:a16="http://schemas.microsoft.com/office/drawing/2014/main" id="{0AD6275B-A45E-469F-BA0F-879DC6252A2E}"/>
            </a:ext>
          </a:extLst>
        </xdr:cNvPr>
        <xdr:cNvSpPr/>
      </xdr:nvSpPr>
      <xdr:spPr>
        <a:xfrm rot="10800000">
          <a:off x="11544300" y="11878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649</xdr:row>
      <xdr:rowOff>0</xdr:rowOff>
    </xdr:from>
    <xdr:to>
      <xdr:col>45</xdr:col>
      <xdr:colOff>83820</xdr:colOff>
      <xdr:row>649</xdr:row>
      <xdr:rowOff>114300</xdr:rowOff>
    </xdr:to>
    <xdr:sp macro="" textlink="">
      <xdr:nvSpPr>
        <xdr:cNvPr id="4931" name="Arrow: Down 4930">
          <a:extLst>
            <a:ext uri="{FF2B5EF4-FFF2-40B4-BE49-F238E27FC236}">
              <a16:creationId xmlns:a16="http://schemas.microsoft.com/office/drawing/2014/main" id="{2736D5D8-83A1-4415-965C-049A1E6E460B}"/>
            </a:ext>
          </a:extLst>
        </xdr:cNvPr>
        <xdr:cNvSpPr/>
      </xdr:nvSpPr>
      <xdr:spPr>
        <a:xfrm rot="10800000">
          <a:off x="13403580" y="11878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650</xdr:row>
      <xdr:rowOff>0</xdr:rowOff>
    </xdr:from>
    <xdr:to>
      <xdr:col>5</xdr:col>
      <xdr:colOff>83820</xdr:colOff>
      <xdr:row>650</xdr:row>
      <xdr:rowOff>114300</xdr:rowOff>
    </xdr:to>
    <xdr:sp macro="" textlink="">
      <xdr:nvSpPr>
        <xdr:cNvPr id="4941" name="Arrow: Down 4940">
          <a:extLst>
            <a:ext uri="{FF2B5EF4-FFF2-40B4-BE49-F238E27FC236}">
              <a16:creationId xmlns:a16="http://schemas.microsoft.com/office/drawing/2014/main" id="{37756B2A-9075-46BF-9BF2-FCA851A99E20}"/>
            </a:ext>
          </a:extLst>
        </xdr:cNvPr>
        <xdr:cNvSpPr/>
      </xdr:nvSpPr>
      <xdr:spPr>
        <a:xfrm rot="10800000">
          <a:off x="192786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650</xdr:row>
      <xdr:rowOff>0</xdr:rowOff>
    </xdr:from>
    <xdr:to>
      <xdr:col>11</xdr:col>
      <xdr:colOff>83820</xdr:colOff>
      <xdr:row>650</xdr:row>
      <xdr:rowOff>114300</xdr:rowOff>
    </xdr:to>
    <xdr:sp macro="" textlink="">
      <xdr:nvSpPr>
        <xdr:cNvPr id="4942" name="Arrow: Down 4941">
          <a:extLst>
            <a:ext uri="{FF2B5EF4-FFF2-40B4-BE49-F238E27FC236}">
              <a16:creationId xmlns:a16="http://schemas.microsoft.com/office/drawing/2014/main" id="{212BEFD0-F0F3-495E-9BAB-18962E04A188}"/>
            </a:ext>
          </a:extLst>
        </xdr:cNvPr>
        <xdr:cNvSpPr/>
      </xdr:nvSpPr>
      <xdr:spPr>
        <a:xfrm rot="10800000">
          <a:off x="369570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650</xdr:row>
      <xdr:rowOff>0</xdr:rowOff>
    </xdr:from>
    <xdr:to>
      <xdr:col>24</xdr:col>
      <xdr:colOff>83820</xdr:colOff>
      <xdr:row>650</xdr:row>
      <xdr:rowOff>114300</xdr:rowOff>
    </xdr:to>
    <xdr:sp macro="" textlink="">
      <xdr:nvSpPr>
        <xdr:cNvPr id="4943" name="Arrow: Down 4942">
          <a:extLst>
            <a:ext uri="{FF2B5EF4-FFF2-40B4-BE49-F238E27FC236}">
              <a16:creationId xmlns:a16="http://schemas.microsoft.com/office/drawing/2014/main" id="{C5642904-BC58-4A41-A728-D4216D7186CE}"/>
            </a:ext>
          </a:extLst>
        </xdr:cNvPr>
        <xdr:cNvSpPr/>
      </xdr:nvSpPr>
      <xdr:spPr>
        <a:xfrm rot="10800000">
          <a:off x="833628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650</xdr:row>
      <xdr:rowOff>0</xdr:rowOff>
    </xdr:from>
    <xdr:to>
      <xdr:col>71</xdr:col>
      <xdr:colOff>83820</xdr:colOff>
      <xdr:row>650</xdr:row>
      <xdr:rowOff>114300</xdr:rowOff>
    </xdr:to>
    <xdr:sp macro="" textlink="">
      <xdr:nvSpPr>
        <xdr:cNvPr id="4947" name="Arrow: Down 4946">
          <a:extLst>
            <a:ext uri="{FF2B5EF4-FFF2-40B4-BE49-F238E27FC236}">
              <a16:creationId xmlns:a16="http://schemas.microsoft.com/office/drawing/2014/main" id="{2FC7BDA1-9C2E-4EDE-877F-BF878C0D8B67}"/>
            </a:ext>
          </a:extLst>
        </xdr:cNvPr>
        <xdr:cNvSpPr/>
      </xdr:nvSpPr>
      <xdr:spPr>
        <a:xfrm rot="10800000">
          <a:off x="2196084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650</xdr:row>
      <xdr:rowOff>0</xdr:rowOff>
    </xdr:from>
    <xdr:to>
      <xdr:col>60</xdr:col>
      <xdr:colOff>83820</xdr:colOff>
      <xdr:row>650</xdr:row>
      <xdr:rowOff>114300</xdr:rowOff>
    </xdr:to>
    <xdr:sp macro="" textlink="">
      <xdr:nvSpPr>
        <xdr:cNvPr id="4949" name="Arrow: Down 4948">
          <a:extLst>
            <a:ext uri="{FF2B5EF4-FFF2-40B4-BE49-F238E27FC236}">
              <a16:creationId xmlns:a16="http://schemas.microsoft.com/office/drawing/2014/main" id="{4444881B-20CB-4B47-B61A-7E111F60AEF3}"/>
            </a:ext>
          </a:extLst>
        </xdr:cNvPr>
        <xdr:cNvSpPr/>
      </xdr:nvSpPr>
      <xdr:spPr>
        <a:xfrm rot="10800000">
          <a:off x="190804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650</xdr:row>
      <xdr:rowOff>0</xdr:rowOff>
    </xdr:from>
    <xdr:to>
      <xdr:col>45</xdr:col>
      <xdr:colOff>83820</xdr:colOff>
      <xdr:row>650</xdr:row>
      <xdr:rowOff>114300</xdr:rowOff>
    </xdr:to>
    <xdr:sp macro="" textlink="">
      <xdr:nvSpPr>
        <xdr:cNvPr id="4951" name="Arrow: Down 4950">
          <a:extLst>
            <a:ext uri="{FF2B5EF4-FFF2-40B4-BE49-F238E27FC236}">
              <a16:creationId xmlns:a16="http://schemas.microsoft.com/office/drawing/2014/main" id="{3056E400-80B6-4250-A476-A7A28A7765FB}"/>
            </a:ext>
          </a:extLst>
        </xdr:cNvPr>
        <xdr:cNvSpPr/>
      </xdr:nvSpPr>
      <xdr:spPr>
        <a:xfrm>
          <a:off x="134035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650</xdr:row>
      <xdr:rowOff>0</xdr:rowOff>
    </xdr:from>
    <xdr:to>
      <xdr:col>39</xdr:col>
      <xdr:colOff>83820</xdr:colOff>
      <xdr:row>650</xdr:row>
      <xdr:rowOff>114300</xdr:rowOff>
    </xdr:to>
    <xdr:sp macro="" textlink="">
      <xdr:nvSpPr>
        <xdr:cNvPr id="4953" name="Arrow: Down 4952">
          <a:extLst>
            <a:ext uri="{FF2B5EF4-FFF2-40B4-BE49-F238E27FC236}">
              <a16:creationId xmlns:a16="http://schemas.microsoft.com/office/drawing/2014/main" id="{1DAD3F16-F634-438D-8486-F05818D50497}"/>
            </a:ext>
          </a:extLst>
        </xdr:cNvPr>
        <xdr:cNvSpPr/>
      </xdr:nvSpPr>
      <xdr:spPr>
        <a:xfrm>
          <a:off x="1154430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651</xdr:row>
      <xdr:rowOff>0</xdr:rowOff>
    </xdr:from>
    <xdr:to>
      <xdr:col>5</xdr:col>
      <xdr:colOff>83820</xdr:colOff>
      <xdr:row>651</xdr:row>
      <xdr:rowOff>114300</xdr:rowOff>
    </xdr:to>
    <xdr:sp macro="" textlink="">
      <xdr:nvSpPr>
        <xdr:cNvPr id="4954" name="Arrow: Down 4953">
          <a:extLst>
            <a:ext uri="{FF2B5EF4-FFF2-40B4-BE49-F238E27FC236}">
              <a16:creationId xmlns:a16="http://schemas.microsoft.com/office/drawing/2014/main" id="{C8CC07E0-761B-46EE-83E4-FF9DF2CEBE2E}"/>
            </a:ext>
          </a:extLst>
        </xdr:cNvPr>
        <xdr:cNvSpPr/>
      </xdr:nvSpPr>
      <xdr:spPr>
        <a:xfrm rot="10800000">
          <a:off x="192786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651</xdr:row>
      <xdr:rowOff>0</xdr:rowOff>
    </xdr:from>
    <xdr:to>
      <xdr:col>11</xdr:col>
      <xdr:colOff>83820</xdr:colOff>
      <xdr:row>651</xdr:row>
      <xdr:rowOff>114300</xdr:rowOff>
    </xdr:to>
    <xdr:sp macro="" textlink="">
      <xdr:nvSpPr>
        <xdr:cNvPr id="4955" name="Arrow: Down 4954">
          <a:extLst>
            <a:ext uri="{FF2B5EF4-FFF2-40B4-BE49-F238E27FC236}">
              <a16:creationId xmlns:a16="http://schemas.microsoft.com/office/drawing/2014/main" id="{490A1E17-E747-484B-A2F9-B536B1BFD505}"/>
            </a:ext>
          </a:extLst>
        </xdr:cNvPr>
        <xdr:cNvSpPr/>
      </xdr:nvSpPr>
      <xdr:spPr>
        <a:xfrm rot="10800000">
          <a:off x="369570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651</xdr:row>
      <xdr:rowOff>0</xdr:rowOff>
    </xdr:from>
    <xdr:to>
      <xdr:col>71</xdr:col>
      <xdr:colOff>83820</xdr:colOff>
      <xdr:row>651</xdr:row>
      <xdr:rowOff>114300</xdr:rowOff>
    </xdr:to>
    <xdr:sp macro="" textlink="">
      <xdr:nvSpPr>
        <xdr:cNvPr id="4957" name="Arrow: Down 4956">
          <a:extLst>
            <a:ext uri="{FF2B5EF4-FFF2-40B4-BE49-F238E27FC236}">
              <a16:creationId xmlns:a16="http://schemas.microsoft.com/office/drawing/2014/main" id="{D7559444-69EC-4914-B3FB-12A66842E076}"/>
            </a:ext>
          </a:extLst>
        </xdr:cNvPr>
        <xdr:cNvSpPr/>
      </xdr:nvSpPr>
      <xdr:spPr>
        <a:xfrm rot="10800000">
          <a:off x="2196084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651</xdr:row>
      <xdr:rowOff>0</xdr:rowOff>
    </xdr:from>
    <xdr:to>
      <xdr:col>60</xdr:col>
      <xdr:colOff>83820</xdr:colOff>
      <xdr:row>651</xdr:row>
      <xdr:rowOff>114300</xdr:rowOff>
    </xdr:to>
    <xdr:sp macro="" textlink="">
      <xdr:nvSpPr>
        <xdr:cNvPr id="4958" name="Arrow: Down 4957">
          <a:extLst>
            <a:ext uri="{FF2B5EF4-FFF2-40B4-BE49-F238E27FC236}">
              <a16:creationId xmlns:a16="http://schemas.microsoft.com/office/drawing/2014/main" id="{9147C535-0F7B-47FB-8693-A9807115AB27}"/>
            </a:ext>
          </a:extLst>
        </xdr:cNvPr>
        <xdr:cNvSpPr/>
      </xdr:nvSpPr>
      <xdr:spPr>
        <a:xfrm rot="10800000">
          <a:off x="190804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651</xdr:row>
      <xdr:rowOff>0</xdr:rowOff>
    </xdr:from>
    <xdr:to>
      <xdr:col>45</xdr:col>
      <xdr:colOff>83820</xdr:colOff>
      <xdr:row>651</xdr:row>
      <xdr:rowOff>114300</xdr:rowOff>
    </xdr:to>
    <xdr:sp macro="" textlink="">
      <xdr:nvSpPr>
        <xdr:cNvPr id="4959" name="Arrow: Down 4958">
          <a:extLst>
            <a:ext uri="{FF2B5EF4-FFF2-40B4-BE49-F238E27FC236}">
              <a16:creationId xmlns:a16="http://schemas.microsoft.com/office/drawing/2014/main" id="{90DF2CA3-A38A-4583-AA2F-AC4CC390F3CC}"/>
            </a:ext>
          </a:extLst>
        </xdr:cNvPr>
        <xdr:cNvSpPr/>
      </xdr:nvSpPr>
      <xdr:spPr>
        <a:xfrm>
          <a:off x="134035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651</xdr:row>
      <xdr:rowOff>0</xdr:rowOff>
    </xdr:from>
    <xdr:to>
      <xdr:col>39</xdr:col>
      <xdr:colOff>83820</xdr:colOff>
      <xdr:row>651</xdr:row>
      <xdr:rowOff>114300</xdr:rowOff>
    </xdr:to>
    <xdr:sp macro="" textlink="">
      <xdr:nvSpPr>
        <xdr:cNvPr id="4961" name="Arrow: Down 4960">
          <a:extLst>
            <a:ext uri="{FF2B5EF4-FFF2-40B4-BE49-F238E27FC236}">
              <a16:creationId xmlns:a16="http://schemas.microsoft.com/office/drawing/2014/main" id="{778BB48F-FCD1-4287-A0A2-85E1293AE15B}"/>
            </a:ext>
          </a:extLst>
        </xdr:cNvPr>
        <xdr:cNvSpPr/>
      </xdr:nvSpPr>
      <xdr:spPr>
        <a:xfrm rot="10800000">
          <a:off x="11544300" y="119153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651</xdr:row>
      <xdr:rowOff>0</xdr:rowOff>
    </xdr:from>
    <xdr:to>
      <xdr:col>24</xdr:col>
      <xdr:colOff>83820</xdr:colOff>
      <xdr:row>651</xdr:row>
      <xdr:rowOff>114300</xdr:rowOff>
    </xdr:to>
    <xdr:sp macro="" textlink="">
      <xdr:nvSpPr>
        <xdr:cNvPr id="4962" name="Arrow: Down 4961">
          <a:extLst>
            <a:ext uri="{FF2B5EF4-FFF2-40B4-BE49-F238E27FC236}">
              <a16:creationId xmlns:a16="http://schemas.microsoft.com/office/drawing/2014/main" id="{D7B2F286-3F32-423A-8713-4143B114B87A}"/>
            </a:ext>
          </a:extLst>
        </xdr:cNvPr>
        <xdr:cNvSpPr/>
      </xdr:nvSpPr>
      <xdr:spPr>
        <a:xfrm>
          <a:off x="8336280" y="11915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652</xdr:row>
      <xdr:rowOff>0</xdr:rowOff>
    </xdr:from>
    <xdr:to>
      <xdr:col>5</xdr:col>
      <xdr:colOff>83820</xdr:colOff>
      <xdr:row>652</xdr:row>
      <xdr:rowOff>114300</xdr:rowOff>
    </xdr:to>
    <xdr:sp macro="" textlink="">
      <xdr:nvSpPr>
        <xdr:cNvPr id="4970" name="Arrow: Down 4969">
          <a:extLst>
            <a:ext uri="{FF2B5EF4-FFF2-40B4-BE49-F238E27FC236}">
              <a16:creationId xmlns:a16="http://schemas.microsoft.com/office/drawing/2014/main" id="{877C08CC-DC41-4652-95A1-BB1C44270549}"/>
            </a:ext>
          </a:extLst>
        </xdr:cNvPr>
        <xdr:cNvSpPr/>
      </xdr:nvSpPr>
      <xdr:spPr>
        <a:xfrm rot="10800000">
          <a:off x="192786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652</xdr:row>
      <xdr:rowOff>0</xdr:rowOff>
    </xdr:from>
    <xdr:to>
      <xdr:col>11</xdr:col>
      <xdr:colOff>83820</xdr:colOff>
      <xdr:row>652</xdr:row>
      <xdr:rowOff>114300</xdr:rowOff>
    </xdr:to>
    <xdr:sp macro="" textlink="">
      <xdr:nvSpPr>
        <xdr:cNvPr id="4971" name="Arrow: Down 4970">
          <a:extLst>
            <a:ext uri="{FF2B5EF4-FFF2-40B4-BE49-F238E27FC236}">
              <a16:creationId xmlns:a16="http://schemas.microsoft.com/office/drawing/2014/main" id="{7E1F4DFB-AE17-4242-A870-08C455FA5D54}"/>
            </a:ext>
          </a:extLst>
        </xdr:cNvPr>
        <xdr:cNvSpPr/>
      </xdr:nvSpPr>
      <xdr:spPr>
        <a:xfrm rot="10800000">
          <a:off x="369570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652</xdr:row>
      <xdr:rowOff>0</xdr:rowOff>
    </xdr:from>
    <xdr:to>
      <xdr:col>71</xdr:col>
      <xdr:colOff>83820</xdr:colOff>
      <xdr:row>652</xdr:row>
      <xdr:rowOff>114300</xdr:rowOff>
    </xdr:to>
    <xdr:sp macro="" textlink="">
      <xdr:nvSpPr>
        <xdr:cNvPr id="4972" name="Arrow: Down 4971">
          <a:extLst>
            <a:ext uri="{FF2B5EF4-FFF2-40B4-BE49-F238E27FC236}">
              <a16:creationId xmlns:a16="http://schemas.microsoft.com/office/drawing/2014/main" id="{E3D92734-B521-4CEE-B183-7DF37B977FF8}"/>
            </a:ext>
          </a:extLst>
        </xdr:cNvPr>
        <xdr:cNvSpPr/>
      </xdr:nvSpPr>
      <xdr:spPr>
        <a:xfrm rot="10800000">
          <a:off x="2196084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652</xdr:row>
      <xdr:rowOff>0</xdr:rowOff>
    </xdr:from>
    <xdr:to>
      <xdr:col>60</xdr:col>
      <xdr:colOff>83820</xdr:colOff>
      <xdr:row>652</xdr:row>
      <xdr:rowOff>114300</xdr:rowOff>
    </xdr:to>
    <xdr:sp macro="" textlink="">
      <xdr:nvSpPr>
        <xdr:cNvPr id="4973" name="Arrow: Down 4972">
          <a:extLst>
            <a:ext uri="{FF2B5EF4-FFF2-40B4-BE49-F238E27FC236}">
              <a16:creationId xmlns:a16="http://schemas.microsoft.com/office/drawing/2014/main" id="{34928979-149C-44DA-AF9A-4E0C9F269905}"/>
            </a:ext>
          </a:extLst>
        </xdr:cNvPr>
        <xdr:cNvSpPr/>
      </xdr:nvSpPr>
      <xdr:spPr>
        <a:xfrm rot="10800000">
          <a:off x="1908048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652</xdr:row>
      <xdr:rowOff>0</xdr:rowOff>
    </xdr:from>
    <xdr:to>
      <xdr:col>45</xdr:col>
      <xdr:colOff>83820</xdr:colOff>
      <xdr:row>652</xdr:row>
      <xdr:rowOff>114300</xdr:rowOff>
    </xdr:to>
    <xdr:sp macro="" textlink="">
      <xdr:nvSpPr>
        <xdr:cNvPr id="4974" name="Arrow: Down 4973">
          <a:extLst>
            <a:ext uri="{FF2B5EF4-FFF2-40B4-BE49-F238E27FC236}">
              <a16:creationId xmlns:a16="http://schemas.microsoft.com/office/drawing/2014/main" id="{08BA4741-7689-4864-B1A4-D30D43F7D9A2}"/>
            </a:ext>
          </a:extLst>
        </xdr:cNvPr>
        <xdr:cNvSpPr/>
      </xdr:nvSpPr>
      <xdr:spPr>
        <a:xfrm>
          <a:off x="1340358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652</xdr:row>
      <xdr:rowOff>0</xdr:rowOff>
    </xdr:from>
    <xdr:to>
      <xdr:col>24</xdr:col>
      <xdr:colOff>83820</xdr:colOff>
      <xdr:row>652</xdr:row>
      <xdr:rowOff>114300</xdr:rowOff>
    </xdr:to>
    <xdr:sp macro="" textlink="">
      <xdr:nvSpPr>
        <xdr:cNvPr id="4976" name="Arrow: Down 4975">
          <a:extLst>
            <a:ext uri="{FF2B5EF4-FFF2-40B4-BE49-F238E27FC236}">
              <a16:creationId xmlns:a16="http://schemas.microsoft.com/office/drawing/2014/main" id="{3C34289B-022C-40BE-ACDC-E88C10B4F298}"/>
            </a:ext>
          </a:extLst>
        </xdr:cNvPr>
        <xdr:cNvSpPr/>
      </xdr:nvSpPr>
      <xdr:spPr>
        <a:xfrm>
          <a:off x="8336280" y="11915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652</xdr:row>
      <xdr:rowOff>0</xdr:rowOff>
    </xdr:from>
    <xdr:to>
      <xdr:col>39</xdr:col>
      <xdr:colOff>83820</xdr:colOff>
      <xdr:row>652</xdr:row>
      <xdr:rowOff>114300</xdr:rowOff>
    </xdr:to>
    <xdr:sp macro="" textlink="">
      <xdr:nvSpPr>
        <xdr:cNvPr id="4978" name="Arrow: Down 4977">
          <a:extLst>
            <a:ext uri="{FF2B5EF4-FFF2-40B4-BE49-F238E27FC236}">
              <a16:creationId xmlns:a16="http://schemas.microsoft.com/office/drawing/2014/main" id="{4C969CFF-8F72-4E78-92B5-75A11DDE647E}"/>
            </a:ext>
          </a:extLst>
        </xdr:cNvPr>
        <xdr:cNvSpPr/>
      </xdr:nvSpPr>
      <xdr:spPr>
        <a:xfrm>
          <a:off x="1154430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653</xdr:row>
      <xdr:rowOff>0</xdr:rowOff>
    </xdr:from>
    <xdr:to>
      <xdr:col>71</xdr:col>
      <xdr:colOff>83820</xdr:colOff>
      <xdr:row>653</xdr:row>
      <xdr:rowOff>114300</xdr:rowOff>
    </xdr:to>
    <xdr:sp macro="" textlink="">
      <xdr:nvSpPr>
        <xdr:cNvPr id="4981" name="Arrow: Down 4980">
          <a:extLst>
            <a:ext uri="{FF2B5EF4-FFF2-40B4-BE49-F238E27FC236}">
              <a16:creationId xmlns:a16="http://schemas.microsoft.com/office/drawing/2014/main" id="{80D609DD-0464-4331-B453-5A4F6AE815D0}"/>
            </a:ext>
          </a:extLst>
        </xdr:cNvPr>
        <xdr:cNvSpPr/>
      </xdr:nvSpPr>
      <xdr:spPr>
        <a:xfrm rot="10800000">
          <a:off x="2196084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653</xdr:row>
      <xdr:rowOff>0</xdr:rowOff>
    </xdr:from>
    <xdr:to>
      <xdr:col>60</xdr:col>
      <xdr:colOff>83820</xdr:colOff>
      <xdr:row>653</xdr:row>
      <xdr:rowOff>114300</xdr:rowOff>
    </xdr:to>
    <xdr:sp macro="" textlink="">
      <xdr:nvSpPr>
        <xdr:cNvPr id="4982" name="Arrow: Down 4981">
          <a:extLst>
            <a:ext uri="{FF2B5EF4-FFF2-40B4-BE49-F238E27FC236}">
              <a16:creationId xmlns:a16="http://schemas.microsoft.com/office/drawing/2014/main" id="{6FA20907-CEC9-4CA9-9FF7-66AB2EE846F5}"/>
            </a:ext>
          </a:extLst>
        </xdr:cNvPr>
        <xdr:cNvSpPr/>
      </xdr:nvSpPr>
      <xdr:spPr>
        <a:xfrm rot="10800000">
          <a:off x="190804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653</xdr:row>
      <xdr:rowOff>0</xdr:rowOff>
    </xdr:from>
    <xdr:to>
      <xdr:col>45</xdr:col>
      <xdr:colOff>83820</xdr:colOff>
      <xdr:row>653</xdr:row>
      <xdr:rowOff>114300</xdr:rowOff>
    </xdr:to>
    <xdr:sp macro="" textlink="">
      <xdr:nvSpPr>
        <xdr:cNvPr id="4983" name="Arrow: Down 4982">
          <a:extLst>
            <a:ext uri="{FF2B5EF4-FFF2-40B4-BE49-F238E27FC236}">
              <a16:creationId xmlns:a16="http://schemas.microsoft.com/office/drawing/2014/main" id="{678AB08F-7434-4548-B3C4-10A5795CBBDF}"/>
            </a:ext>
          </a:extLst>
        </xdr:cNvPr>
        <xdr:cNvSpPr/>
      </xdr:nvSpPr>
      <xdr:spPr>
        <a:xfrm>
          <a:off x="1340358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653</xdr:row>
      <xdr:rowOff>0</xdr:rowOff>
    </xdr:from>
    <xdr:to>
      <xdr:col>24</xdr:col>
      <xdr:colOff>83820</xdr:colOff>
      <xdr:row>653</xdr:row>
      <xdr:rowOff>114300</xdr:rowOff>
    </xdr:to>
    <xdr:sp macro="" textlink="">
      <xdr:nvSpPr>
        <xdr:cNvPr id="4984" name="Arrow: Down 4983">
          <a:extLst>
            <a:ext uri="{FF2B5EF4-FFF2-40B4-BE49-F238E27FC236}">
              <a16:creationId xmlns:a16="http://schemas.microsoft.com/office/drawing/2014/main" id="{F7F7CE14-1C0E-4AAF-B1B0-3E586188E482}"/>
            </a:ext>
          </a:extLst>
        </xdr:cNvPr>
        <xdr:cNvSpPr/>
      </xdr:nvSpPr>
      <xdr:spPr>
        <a:xfrm>
          <a:off x="8336280" y="11933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653</xdr:row>
      <xdr:rowOff>0</xdr:rowOff>
    </xdr:from>
    <xdr:to>
      <xdr:col>39</xdr:col>
      <xdr:colOff>83820</xdr:colOff>
      <xdr:row>653</xdr:row>
      <xdr:rowOff>114300</xdr:rowOff>
    </xdr:to>
    <xdr:sp macro="" textlink="">
      <xdr:nvSpPr>
        <xdr:cNvPr id="4985" name="Arrow: Down 4984">
          <a:extLst>
            <a:ext uri="{FF2B5EF4-FFF2-40B4-BE49-F238E27FC236}">
              <a16:creationId xmlns:a16="http://schemas.microsoft.com/office/drawing/2014/main" id="{BD8BA873-E5C0-49B3-B8EB-0B03DF0D0F30}"/>
            </a:ext>
          </a:extLst>
        </xdr:cNvPr>
        <xdr:cNvSpPr/>
      </xdr:nvSpPr>
      <xdr:spPr>
        <a:xfrm>
          <a:off x="1154430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653</xdr:row>
      <xdr:rowOff>0</xdr:rowOff>
    </xdr:from>
    <xdr:to>
      <xdr:col>5</xdr:col>
      <xdr:colOff>83820</xdr:colOff>
      <xdr:row>653</xdr:row>
      <xdr:rowOff>114300</xdr:rowOff>
    </xdr:to>
    <xdr:sp macro="" textlink="">
      <xdr:nvSpPr>
        <xdr:cNvPr id="4986" name="Arrow: Down 4985">
          <a:extLst>
            <a:ext uri="{FF2B5EF4-FFF2-40B4-BE49-F238E27FC236}">
              <a16:creationId xmlns:a16="http://schemas.microsoft.com/office/drawing/2014/main" id="{E3FFC31D-CE47-46BA-9259-CBA565204918}"/>
            </a:ext>
          </a:extLst>
        </xdr:cNvPr>
        <xdr:cNvSpPr/>
      </xdr:nvSpPr>
      <xdr:spPr>
        <a:xfrm>
          <a:off x="192786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653</xdr:row>
      <xdr:rowOff>0</xdr:rowOff>
    </xdr:from>
    <xdr:to>
      <xdr:col>11</xdr:col>
      <xdr:colOff>83820</xdr:colOff>
      <xdr:row>653</xdr:row>
      <xdr:rowOff>114300</xdr:rowOff>
    </xdr:to>
    <xdr:sp macro="" textlink="">
      <xdr:nvSpPr>
        <xdr:cNvPr id="4988" name="Arrow: Down 4987">
          <a:extLst>
            <a:ext uri="{FF2B5EF4-FFF2-40B4-BE49-F238E27FC236}">
              <a16:creationId xmlns:a16="http://schemas.microsoft.com/office/drawing/2014/main" id="{4350C1C1-3A1D-44EA-AD64-5D70506AA4AE}"/>
            </a:ext>
          </a:extLst>
        </xdr:cNvPr>
        <xdr:cNvSpPr/>
      </xdr:nvSpPr>
      <xdr:spPr>
        <a:xfrm>
          <a:off x="369570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654</xdr:row>
      <xdr:rowOff>0</xdr:rowOff>
    </xdr:from>
    <xdr:to>
      <xdr:col>71</xdr:col>
      <xdr:colOff>83820</xdr:colOff>
      <xdr:row>654</xdr:row>
      <xdr:rowOff>114300</xdr:rowOff>
    </xdr:to>
    <xdr:sp macro="" textlink="">
      <xdr:nvSpPr>
        <xdr:cNvPr id="4996" name="Arrow: Down 4995">
          <a:extLst>
            <a:ext uri="{FF2B5EF4-FFF2-40B4-BE49-F238E27FC236}">
              <a16:creationId xmlns:a16="http://schemas.microsoft.com/office/drawing/2014/main" id="{19F536BA-2238-406D-BCC2-9207C7145239}"/>
            </a:ext>
          </a:extLst>
        </xdr:cNvPr>
        <xdr:cNvSpPr/>
      </xdr:nvSpPr>
      <xdr:spPr>
        <a:xfrm rot="10800000">
          <a:off x="2196084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654</xdr:row>
      <xdr:rowOff>0</xdr:rowOff>
    </xdr:from>
    <xdr:to>
      <xdr:col>60</xdr:col>
      <xdr:colOff>83820</xdr:colOff>
      <xdr:row>654</xdr:row>
      <xdr:rowOff>114300</xdr:rowOff>
    </xdr:to>
    <xdr:sp macro="" textlink="">
      <xdr:nvSpPr>
        <xdr:cNvPr id="4997" name="Arrow: Down 4996">
          <a:extLst>
            <a:ext uri="{FF2B5EF4-FFF2-40B4-BE49-F238E27FC236}">
              <a16:creationId xmlns:a16="http://schemas.microsoft.com/office/drawing/2014/main" id="{18E9A654-86A2-4A1C-932B-1917CEBBCDBB}"/>
            </a:ext>
          </a:extLst>
        </xdr:cNvPr>
        <xdr:cNvSpPr/>
      </xdr:nvSpPr>
      <xdr:spPr>
        <a:xfrm rot="10800000">
          <a:off x="190804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654</xdr:row>
      <xdr:rowOff>0</xdr:rowOff>
    </xdr:from>
    <xdr:to>
      <xdr:col>45</xdr:col>
      <xdr:colOff>83820</xdr:colOff>
      <xdr:row>654</xdr:row>
      <xdr:rowOff>114300</xdr:rowOff>
    </xdr:to>
    <xdr:sp macro="" textlink="">
      <xdr:nvSpPr>
        <xdr:cNvPr id="4998" name="Arrow: Down 4997">
          <a:extLst>
            <a:ext uri="{FF2B5EF4-FFF2-40B4-BE49-F238E27FC236}">
              <a16:creationId xmlns:a16="http://schemas.microsoft.com/office/drawing/2014/main" id="{EBBE126A-1352-4E9E-801C-BCC0F7405328}"/>
            </a:ext>
          </a:extLst>
        </xdr:cNvPr>
        <xdr:cNvSpPr/>
      </xdr:nvSpPr>
      <xdr:spPr>
        <a:xfrm>
          <a:off x="134035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654</xdr:row>
      <xdr:rowOff>0</xdr:rowOff>
    </xdr:from>
    <xdr:to>
      <xdr:col>24</xdr:col>
      <xdr:colOff>83820</xdr:colOff>
      <xdr:row>654</xdr:row>
      <xdr:rowOff>114300</xdr:rowOff>
    </xdr:to>
    <xdr:sp macro="" textlink="">
      <xdr:nvSpPr>
        <xdr:cNvPr id="4999" name="Arrow: Down 4998">
          <a:extLst>
            <a:ext uri="{FF2B5EF4-FFF2-40B4-BE49-F238E27FC236}">
              <a16:creationId xmlns:a16="http://schemas.microsoft.com/office/drawing/2014/main" id="{BE037654-4524-4295-A387-D744821D18DE}"/>
            </a:ext>
          </a:extLst>
        </xdr:cNvPr>
        <xdr:cNvSpPr/>
      </xdr:nvSpPr>
      <xdr:spPr>
        <a:xfrm>
          <a:off x="833628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654</xdr:row>
      <xdr:rowOff>0</xdr:rowOff>
    </xdr:from>
    <xdr:to>
      <xdr:col>39</xdr:col>
      <xdr:colOff>83820</xdr:colOff>
      <xdr:row>654</xdr:row>
      <xdr:rowOff>114300</xdr:rowOff>
    </xdr:to>
    <xdr:sp macro="" textlink="">
      <xdr:nvSpPr>
        <xdr:cNvPr id="5000" name="Arrow: Down 4999">
          <a:extLst>
            <a:ext uri="{FF2B5EF4-FFF2-40B4-BE49-F238E27FC236}">
              <a16:creationId xmlns:a16="http://schemas.microsoft.com/office/drawing/2014/main" id="{A2C16BDE-AF9D-47BC-A597-46184030D3E4}"/>
            </a:ext>
          </a:extLst>
        </xdr:cNvPr>
        <xdr:cNvSpPr/>
      </xdr:nvSpPr>
      <xdr:spPr>
        <a:xfrm>
          <a:off x="1154430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654</xdr:row>
      <xdr:rowOff>0</xdr:rowOff>
    </xdr:from>
    <xdr:to>
      <xdr:col>5</xdr:col>
      <xdr:colOff>83820</xdr:colOff>
      <xdr:row>654</xdr:row>
      <xdr:rowOff>114300</xdr:rowOff>
    </xdr:to>
    <xdr:sp macro="" textlink="">
      <xdr:nvSpPr>
        <xdr:cNvPr id="5001" name="Arrow: Down 5000">
          <a:extLst>
            <a:ext uri="{FF2B5EF4-FFF2-40B4-BE49-F238E27FC236}">
              <a16:creationId xmlns:a16="http://schemas.microsoft.com/office/drawing/2014/main" id="{AAA4D6B9-A8A1-4751-ACC3-EF65FE19A5B2}"/>
            </a:ext>
          </a:extLst>
        </xdr:cNvPr>
        <xdr:cNvSpPr/>
      </xdr:nvSpPr>
      <xdr:spPr>
        <a:xfrm>
          <a:off x="192786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654</xdr:row>
      <xdr:rowOff>0</xdr:rowOff>
    </xdr:from>
    <xdr:to>
      <xdr:col>11</xdr:col>
      <xdr:colOff>83820</xdr:colOff>
      <xdr:row>654</xdr:row>
      <xdr:rowOff>114300</xdr:rowOff>
    </xdr:to>
    <xdr:sp macro="" textlink="">
      <xdr:nvSpPr>
        <xdr:cNvPr id="5002" name="Arrow: Down 5001">
          <a:extLst>
            <a:ext uri="{FF2B5EF4-FFF2-40B4-BE49-F238E27FC236}">
              <a16:creationId xmlns:a16="http://schemas.microsoft.com/office/drawing/2014/main" id="{B6CFF753-DCAE-4A57-B0D3-697C88AB3FE5}"/>
            </a:ext>
          </a:extLst>
        </xdr:cNvPr>
        <xdr:cNvSpPr/>
      </xdr:nvSpPr>
      <xdr:spPr>
        <a:xfrm>
          <a:off x="369570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655</xdr:row>
      <xdr:rowOff>0</xdr:rowOff>
    </xdr:from>
    <xdr:to>
      <xdr:col>71</xdr:col>
      <xdr:colOff>83820</xdr:colOff>
      <xdr:row>655</xdr:row>
      <xdr:rowOff>114300</xdr:rowOff>
    </xdr:to>
    <xdr:sp macro="" textlink="">
      <xdr:nvSpPr>
        <xdr:cNvPr id="5010" name="Arrow: Down 5009">
          <a:extLst>
            <a:ext uri="{FF2B5EF4-FFF2-40B4-BE49-F238E27FC236}">
              <a16:creationId xmlns:a16="http://schemas.microsoft.com/office/drawing/2014/main" id="{E8E5F1F7-2625-435B-A04F-304FBDD19824}"/>
            </a:ext>
          </a:extLst>
        </xdr:cNvPr>
        <xdr:cNvSpPr/>
      </xdr:nvSpPr>
      <xdr:spPr>
        <a:xfrm rot="10800000">
          <a:off x="21960840" y="11970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655</xdr:row>
      <xdr:rowOff>0</xdr:rowOff>
    </xdr:from>
    <xdr:to>
      <xdr:col>45</xdr:col>
      <xdr:colOff>83820</xdr:colOff>
      <xdr:row>655</xdr:row>
      <xdr:rowOff>114300</xdr:rowOff>
    </xdr:to>
    <xdr:sp macro="" textlink="">
      <xdr:nvSpPr>
        <xdr:cNvPr id="5012" name="Arrow: Down 5011">
          <a:extLst>
            <a:ext uri="{FF2B5EF4-FFF2-40B4-BE49-F238E27FC236}">
              <a16:creationId xmlns:a16="http://schemas.microsoft.com/office/drawing/2014/main" id="{7527B2FC-6DA5-485B-A71E-CD164F5DBBB4}"/>
            </a:ext>
          </a:extLst>
        </xdr:cNvPr>
        <xdr:cNvSpPr/>
      </xdr:nvSpPr>
      <xdr:spPr>
        <a:xfrm>
          <a:off x="13403580" y="11970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655</xdr:row>
      <xdr:rowOff>0</xdr:rowOff>
    </xdr:from>
    <xdr:to>
      <xdr:col>24</xdr:col>
      <xdr:colOff>83820</xdr:colOff>
      <xdr:row>655</xdr:row>
      <xdr:rowOff>114300</xdr:rowOff>
    </xdr:to>
    <xdr:sp macro="" textlink="">
      <xdr:nvSpPr>
        <xdr:cNvPr id="5013" name="Arrow: Down 5012">
          <a:extLst>
            <a:ext uri="{FF2B5EF4-FFF2-40B4-BE49-F238E27FC236}">
              <a16:creationId xmlns:a16="http://schemas.microsoft.com/office/drawing/2014/main" id="{1E3CDCDB-5649-481F-BFFE-3D52CE71D160}"/>
            </a:ext>
          </a:extLst>
        </xdr:cNvPr>
        <xdr:cNvSpPr/>
      </xdr:nvSpPr>
      <xdr:spPr>
        <a:xfrm>
          <a:off x="833628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655</xdr:row>
      <xdr:rowOff>0</xdr:rowOff>
    </xdr:from>
    <xdr:to>
      <xdr:col>5</xdr:col>
      <xdr:colOff>83820</xdr:colOff>
      <xdr:row>655</xdr:row>
      <xdr:rowOff>114300</xdr:rowOff>
    </xdr:to>
    <xdr:sp macro="" textlink="">
      <xdr:nvSpPr>
        <xdr:cNvPr id="5015" name="Arrow: Down 5014">
          <a:extLst>
            <a:ext uri="{FF2B5EF4-FFF2-40B4-BE49-F238E27FC236}">
              <a16:creationId xmlns:a16="http://schemas.microsoft.com/office/drawing/2014/main" id="{75D04D59-27A3-47DD-920D-EECC465532AE}"/>
            </a:ext>
          </a:extLst>
        </xdr:cNvPr>
        <xdr:cNvSpPr/>
      </xdr:nvSpPr>
      <xdr:spPr>
        <a:xfrm>
          <a:off x="192786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655</xdr:row>
      <xdr:rowOff>0</xdr:rowOff>
    </xdr:from>
    <xdr:to>
      <xdr:col>11</xdr:col>
      <xdr:colOff>83820</xdr:colOff>
      <xdr:row>655</xdr:row>
      <xdr:rowOff>114300</xdr:rowOff>
    </xdr:to>
    <xdr:sp macro="" textlink="">
      <xdr:nvSpPr>
        <xdr:cNvPr id="5016" name="Arrow: Down 5015">
          <a:extLst>
            <a:ext uri="{FF2B5EF4-FFF2-40B4-BE49-F238E27FC236}">
              <a16:creationId xmlns:a16="http://schemas.microsoft.com/office/drawing/2014/main" id="{9F26F817-3B93-4D24-83FD-65693E0320D2}"/>
            </a:ext>
          </a:extLst>
        </xdr:cNvPr>
        <xdr:cNvSpPr/>
      </xdr:nvSpPr>
      <xdr:spPr>
        <a:xfrm>
          <a:off x="369570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655</xdr:row>
      <xdr:rowOff>0</xdr:rowOff>
    </xdr:from>
    <xdr:to>
      <xdr:col>60</xdr:col>
      <xdr:colOff>83820</xdr:colOff>
      <xdr:row>655</xdr:row>
      <xdr:rowOff>114300</xdr:rowOff>
    </xdr:to>
    <xdr:sp macro="" textlink="">
      <xdr:nvSpPr>
        <xdr:cNvPr id="5017" name="Arrow: Down 5016">
          <a:extLst>
            <a:ext uri="{FF2B5EF4-FFF2-40B4-BE49-F238E27FC236}">
              <a16:creationId xmlns:a16="http://schemas.microsoft.com/office/drawing/2014/main" id="{50E87676-3AC7-4D85-B531-FBC640A7BFAE}"/>
            </a:ext>
          </a:extLst>
        </xdr:cNvPr>
        <xdr:cNvSpPr/>
      </xdr:nvSpPr>
      <xdr:spPr>
        <a:xfrm>
          <a:off x="19080480" y="11988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655</xdr:row>
      <xdr:rowOff>0</xdr:rowOff>
    </xdr:from>
    <xdr:to>
      <xdr:col>39</xdr:col>
      <xdr:colOff>83820</xdr:colOff>
      <xdr:row>655</xdr:row>
      <xdr:rowOff>114300</xdr:rowOff>
    </xdr:to>
    <xdr:sp macro="" textlink="">
      <xdr:nvSpPr>
        <xdr:cNvPr id="5019" name="Arrow: Down 5018">
          <a:extLst>
            <a:ext uri="{FF2B5EF4-FFF2-40B4-BE49-F238E27FC236}">
              <a16:creationId xmlns:a16="http://schemas.microsoft.com/office/drawing/2014/main" id="{0F4C71DD-1468-4835-9008-FB72646EF7CF}"/>
            </a:ext>
          </a:extLst>
        </xdr:cNvPr>
        <xdr:cNvSpPr/>
      </xdr:nvSpPr>
      <xdr:spPr>
        <a:xfrm rot="10800000">
          <a:off x="11544300" y="11988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656</xdr:row>
      <xdr:rowOff>0</xdr:rowOff>
    </xdr:from>
    <xdr:to>
      <xdr:col>45</xdr:col>
      <xdr:colOff>83820</xdr:colOff>
      <xdr:row>656</xdr:row>
      <xdr:rowOff>114300</xdr:rowOff>
    </xdr:to>
    <xdr:sp macro="" textlink="">
      <xdr:nvSpPr>
        <xdr:cNvPr id="4725" name="Arrow: Down 4724">
          <a:extLst>
            <a:ext uri="{FF2B5EF4-FFF2-40B4-BE49-F238E27FC236}">
              <a16:creationId xmlns:a16="http://schemas.microsoft.com/office/drawing/2014/main" id="{9510F82F-9D3F-48C5-838D-E77E76018F84}"/>
            </a:ext>
          </a:extLst>
        </xdr:cNvPr>
        <xdr:cNvSpPr/>
      </xdr:nvSpPr>
      <xdr:spPr>
        <a:xfrm>
          <a:off x="13403580" y="11988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656</xdr:row>
      <xdr:rowOff>0</xdr:rowOff>
    </xdr:from>
    <xdr:to>
      <xdr:col>60</xdr:col>
      <xdr:colOff>83820</xdr:colOff>
      <xdr:row>656</xdr:row>
      <xdr:rowOff>114300</xdr:rowOff>
    </xdr:to>
    <xdr:sp macro="" textlink="">
      <xdr:nvSpPr>
        <xdr:cNvPr id="4751" name="Arrow: Down 4750">
          <a:extLst>
            <a:ext uri="{FF2B5EF4-FFF2-40B4-BE49-F238E27FC236}">
              <a16:creationId xmlns:a16="http://schemas.microsoft.com/office/drawing/2014/main" id="{19314B05-AD00-4C84-986B-F8E8240E043A}"/>
            </a:ext>
          </a:extLst>
        </xdr:cNvPr>
        <xdr:cNvSpPr/>
      </xdr:nvSpPr>
      <xdr:spPr>
        <a:xfrm>
          <a:off x="19080480" y="11988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656</xdr:row>
      <xdr:rowOff>0</xdr:rowOff>
    </xdr:from>
    <xdr:to>
      <xdr:col>39</xdr:col>
      <xdr:colOff>83820</xdr:colOff>
      <xdr:row>656</xdr:row>
      <xdr:rowOff>114300</xdr:rowOff>
    </xdr:to>
    <xdr:sp macro="" textlink="">
      <xdr:nvSpPr>
        <xdr:cNvPr id="4755" name="Arrow: Down 4754">
          <a:extLst>
            <a:ext uri="{FF2B5EF4-FFF2-40B4-BE49-F238E27FC236}">
              <a16:creationId xmlns:a16="http://schemas.microsoft.com/office/drawing/2014/main" id="{72BA34FE-4705-46E5-9C42-81E232A7450E}"/>
            </a:ext>
          </a:extLst>
        </xdr:cNvPr>
        <xdr:cNvSpPr/>
      </xdr:nvSpPr>
      <xdr:spPr>
        <a:xfrm rot="10800000">
          <a:off x="11544300" y="11988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656</xdr:row>
      <xdr:rowOff>0</xdr:rowOff>
    </xdr:from>
    <xdr:to>
      <xdr:col>71</xdr:col>
      <xdr:colOff>83820</xdr:colOff>
      <xdr:row>656</xdr:row>
      <xdr:rowOff>114300</xdr:rowOff>
    </xdr:to>
    <xdr:sp macro="" textlink="">
      <xdr:nvSpPr>
        <xdr:cNvPr id="4792" name="Arrow: Down 4791">
          <a:extLst>
            <a:ext uri="{FF2B5EF4-FFF2-40B4-BE49-F238E27FC236}">
              <a16:creationId xmlns:a16="http://schemas.microsoft.com/office/drawing/2014/main" id="{0F5C2B65-A4CE-4B00-94B7-9C3E1FFA7C51}"/>
            </a:ext>
          </a:extLst>
        </xdr:cNvPr>
        <xdr:cNvSpPr/>
      </xdr:nvSpPr>
      <xdr:spPr>
        <a:xfrm>
          <a:off x="21960840" y="12006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656</xdr:row>
      <xdr:rowOff>0</xdr:rowOff>
    </xdr:from>
    <xdr:to>
      <xdr:col>5</xdr:col>
      <xdr:colOff>83820</xdr:colOff>
      <xdr:row>656</xdr:row>
      <xdr:rowOff>114300</xdr:rowOff>
    </xdr:to>
    <xdr:sp macro="" textlink="">
      <xdr:nvSpPr>
        <xdr:cNvPr id="4818" name="Arrow: Down 4817">
          <a:extLst>
            <a:ext uri="{FF2B5EF4-FFF2-40B4-BE49-F238E27FC236}">
              <a16:creationId xmlns:a16="http://schemas.microsoft.com/office/drawing/2014/main" id="{E4A8F476-8503-4107-A407-F04A6CB05554}"/>
            </a:ext>
          </a:extLst>
        </xdr:cNvPr>
        <xdr:cNvSpPr/>
      </xdr:nvSpPr>
      <xdr:spPr>
        <a:xfrm rot="10800000">
          <a:off x="192786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656</xdr:row>
      <xdr:rowOff>0</xdr:rowOff>
    </xdr:from>
    <xdr:to>
      <xdr:col>11</xdr:col>
      <xdr:colOff>83820</xdr:colOff>
      <xdr:row>656</xdr:row>
      <xdr:rowOff>114300</xdr:rowOff>
    </xdr:to>
    <xdr:sp macro="" textlink="">
      <xdr:nvSpPr>
        <xdr:cNvPr id="4820" name="Arrow: Down 4819">
          <a:extLst>
            <a:ext uri="{FF2B5EF4-FFF2-40B4-BE49-F238E27FC236}">
              <a16:creationId xmlns:a16="http://schemas.microsoft.com/office/drawing/2014/main" id="{CDECBA08-EA8F-4C89-AA61-135C91221806}"/>
            </a:ext>
          </a:extLst>
        </xdr:cNvPr>
        <xdr:cNvSpPr/>
      </xdr:nvSpPr>
      <xdr:spPr>
        <a:xfrm rot="10800000">
          <a:off x="369570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656</xdr:row>
      <xdr:rowOff>0</xdr:rowOff>
    </xdr:from>
    <xdr:to>
      <xdr:col>24</xdr:col>
      <xdr:colOff>83820</xdr:colOff>
      <xdr:row>656</xdr:row>
      <xdr:rowOff>114300</xdr:rowOff>
    </xdr:to>
    <xdr:sp macro="" textlink="">
      <xdr:nvSpPr>
        <xdr:cNvPr id="4822" name="Arrow: Down 4821">
          <a:extLst>
            <a:ext uri="{FF2B5EF4-FFF2-40B4-BE49-F238E27FC236}">
              <a16:creationId xmlns:a16="http://schemas.microsoft.com/office/drawing/2014/main" id="{6B095ADD-8F6A-41CB-9241-244415D32E4D}"/>
            </a:ext>
          </a:extLst>
        </xdr:cNvPr>
        <xdr:cNvSpPr/>
      </xdr:nvSpPr>
      <xdr:spPr>
        <a:xfrm rot="10800000">
          <a:off x="83362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657</xdr:row>
      <xdr:rowOff>0</xdr:rowOff>
    </xdr:from>
    <xdr:to>
      <xdr:col>45</xdr:col>
      <xdr:colOff>83820</xdr:colOff>
      <xdr:row>657</xdr:row>
      <xdr:rowOff>114300</xdr:rowOff>
    </xdr:to>
    <xdr:sp macro="" textlink="">
      <xdr:nvSpPr>
        <xdr:cNvPr id="4846" name="Arrow: Down 4845">
          <a:extLst>
            <a:ext uri="{FF2B5EF4-FFF2-40B4-BE49-F238E27FC236}">
              <a16:creationId xmlns:a16="http://schemas.microsoft.com/office/drawing/2014/main" id="{95E684E4-DFF8-49C2-8498-873A49CD0A6D}"/>
            </a:ext>
          </a:extLst>
        </xdr:cNvPr>
        <xdr:cNvSpPr/>
      </xdr:nvSpPr>
      <xdr:spPr>
        <a:xfrm>
          <a:off x="134035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83820</xdr:colOff>
      <xdr:row>657</xdr:row>
      <xdr:rowOff>114300</xdr:rowOff>
    </xdr:to>
    <xdr:sp macro="" textlink="">
      <xdr:nvSpPr>
        <xdr:cNvPr id="4852" name="Arrow: Down 4851">
          <a:extLst>
            <a:ext uri="{FF2B5EF4-FFF2-40B4-BE49-F238E27FC236}">
              <a16:creationId xmlns:a16="http://schemas.microsoft.com/office/drawing/2014/main" id="{E5EC5BEE-D9F5-4A1E-B949-03071771FF53}"/>
            </a:ext>
          </a:extLst>
        </xdr:cNvPr>
        <xdr:cNvSpPr/>
      </xdr:nvSpPr>
      <xdr:spPr>
        <a:xfrm rot="10800000">
          <a:off x="192786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657</xdr:row>
      <xdr:rowOff>0</xdr:rowOff>
    </xdr:from>
    <xdr:to>
      <xdr:col>11</xdr:col>
      <xdr:colOff>83820</xdr:colOff>
      <xdr:row>657</xdr:row>
      <xdr:rowOff>114300</xdr:rowOff>
    </xdr:to>
    <xdr:sp macro="" textlink="">
      <xdr:nvSpPr>
        <xdr:cNvPr id="4853" name="Arrow: Down 4852">
          <a:extLst>
            <a:ext uri="{FF2B5EF4-FFF2-40B4-BE49-F238E27FC236}">
              <a16:creationId xmlns:a16="http://schemas.microsoft.com/office/drawing/2014/main" id="{7C7C6F1E-B0C4-4586-9629-83D40D5CE1B7}"/>
            </a:ext>
          </a:extLst>
        </xdr:cNvPr>
        <xdr:cNvSpPr/>
      </xdr:nvSpPr>
      <xdr:spPr>
        <a:xfrm rot="10800000">
          <a:off x="369570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657</xdr:row>
      <xdr:rowOff>0</xdr:rowOff>
    </xdr:from>
    <xdr:to>
      <xdr:col>24</xdr:col>
      <xdr:colOff>83820</xdr:colOff>
      <xdr:row>657</xdr:row>
      <xdr:rowOff>114300</xdr:rowOff>
    </xdr:to>
    <xdr:sp macro="" textlink="">
      <xdr:nvSpPr>
        <xdr:cNvPr id="4856" name="Arrow: Down 4855">
          <a:extLst>
            <a:ext uri="{FF2B5EF4-FFF2-40B4-BE49-F238E27FC236}">
              <a16:creationId xmlns:a16="http://schemas.microsoft.com/office/drawing/2014/main" id="{2731B99D-471A-45C9-9829-FC6B496002B8}"/>
            </a:ext>
          </a:extLst>
        </xdr:cNvPr>
        <xdr:cNvSpPr/>
      </xdr:nvSpPr>
      <xdr:spPr>
        <a:xfrm rot="10800000">
          <a:off x="83362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657</xdr:row>
      <xdr:rowOff>0</xdr:rowOff>
    </xdr:from>
    <xdr:to>
      <xdr:col>60</xdr:col>
      <xdr:colOff>83820</xdr:colOff>
      <xdr:row>657</xdr:row>
      <xdr:rowOff>114300</xdr:rowOff>
    </xdr:to>
    <xdr:sp macro="" textlink="">
      <xdr:nvSpPr>
        <xdr:cNvPr id="4860" name="Arrow: Down 4859">
          <a:extLst>
            <a:ext uri="{FF2B5EF4-FFF2-40B4-BE49-F238E27FC236}">
              <a16:creationId xmlns:a16="http://schemas.microsoft.com/office/drawing/2014/main" id="{C15FD6E4-662A-4B9A-B488-2647D950DEDD}"/>
            </a:ext>
          </a:extLst>
        </xdr:cNvPr>
        <xdr:cNvSpPr/>
      </xdr:nvSpPr>
      <xdr:spPr>
        <a:xfrm rot="10800000">
          <a:off x="190804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657</xdr:row>
      <xdr:rowOff>0</xdr:rowOff>
    </xdr:from>
    <xdr:to>
      <xdr:col>71</xdr:col>
      <xdr:colOff>83820</xdr:colOff>
      <xdr:row>657</xdr:row>
      <xdr:rowOff>114300</xdr:rowOff>
    </xdr:to>
    <xdr:sp macro="" textlink="">
      <xdr:nvSpPr>
        <xdr:cNvPr id="4862" name="Arrow: Down 4861">
          <a:extLst>
            <a:ext uri="{FF2B5EF4-FFF2-40B4-BE49-F238E27FC236}">
              <a16:creationId xmlns:a16="http://schemas.microsoft.com/office/drawing/2014/main" id="{A8986D5A-D825-46FF-8C82-B2B93AA93E31}"/>
            </a:ext>
          </a:extLst>
        </xdr:cNvPr>
        <xdr:cNvSpPr/>
      </xdr:nvSpPr>
      <xdr:spPr>
        <a:xfrm rot="10800000">
          <a:off x="2196084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657</xdr:row>
      <xdr:rowOff>0</xdr:rowOff>
    </xdr:from>
    <xdr:to>
      <xdr:col>39</xdr:col>
      <xdr:colOff>83820</xdr:colOff>
      <xdr:row>657</xdr:row>
      <xdr:rowOff>114300</xdr:rowOff>
    </xdr:to>
    <xdr:sp macro="" textlink="">
      <xdr:nvSpPr>
        <xdr:cNvPr id="4866" name="Arrow: Down 4865">
          <a:extLst>
            <a:ext uri="{FF2B5EF4-FFF2-40B4-BE49-F238E27FC236}">
              <a16:creationId xmlns:a16="http://schemas.microsoft.com/office/drawing/2014/main" id="{3242F192-F636-421E-AE11-08F05F5AAB1C}"/>
            </a:ext>
          </a:extLst>
        </xdr:cNvPr>
        <xdr:cNvSpPr/>
      </xdr:nvSpPr>
      <xdr:spPr>
        <a:xfrm>
          <a:off x="115443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658</xdr:row>
      <xdr:rowOff>0</xdr:rowOff>
    </xdr:from>
    <xdr:to>
      <xdr:col>45</xdr:col>
      <xdr:colOff>83820</xdr:colOff>
      <xdr:row>658</xdr:row>
      <xdr:rowOff>114300</xdr:rowOff>
    </xdr:to>
    <xdr:sp macro="" textlink="">
      <xdr:nvSpPr>
        <xdr:cNvPr id="4878" name="Arrow: Down 4877">
          <a:extLst>
            <a:ext uri="{FF2B5EF4-FFF2-40B4-BE49-F238E27FC236}">
              <a16:creationId xmlns:a16="http://schemas.microsoft.com/office/drawing/2014/main" id="{90240631-A72C-4589-B4B6-CC9F8BA1CFD5}"/>
            </a:ext>
          </a:extLst>
        </xdr:cNvPr>
        <xdr:cNvSpPr/>
      </xdr:nvSpPr>
      <xdr:spPr>
        <a:xfrm>
          <a:off x="134035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658</xdr:row>
      <xdr:rowOff>0</xdr:rowOff>
    </xdr:from>
    <xdr:to>
      <xdr:col>5</xdr:col>
      <xdr:colOff>83820</xdr:colOff>
      <xdr:row>658</xdr:row>
      <xdr:rowOff>114300</xdr:rowOff>
    </xdr:to>
    <xdr:sp macro="" textlink="">
      <xdr:nvSpPr>
        <xdr:cNvPr id="4880" name="Arrow: Down 4879">
          <a:extLst>
            <a:ext uri="{FF2B5EF4-FFF2-40B4-BE49-F238E27FC236}">
              <a16:creationId xmlns:a16="http://schemas.microsoft.com/office/drawing/2014/main" id="{3DB54041-D563-4928-8BB2-3EC7471FB885}"/>
            </a:ext>
          </a:extLst>
        </xdr:cNvPr>
        <xdr:cNvSpPr/>
      </xdr:nvSpPr>
      <xdr:spPr>
        <a:xfrm rot="10800000">
          <a:off x="192786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658</xdr:row>
      <xdr:rowOff>0</xdr:rowOff>
    </xdr:from>
    <xdr:to>
      <xdr:col>11</xdr:col>
      <xdr:colOff>83820</xdr:colOff>
      <xdr:row>658</xdr:row>
      <xdr:rowOff>114300</xdr:rowOff>
    </xdr:to>
    <xdr:sp macro="" textlink="">
      <xdr:nvSpPr>
        <xdr:cNvPr id="4881" name="Arrow: Down 4880">
          <a:extLst>
            <a:ext uri="{FF2B5EF4-FFF2-40B4-BE49-F238E27FC236}">
              <a16:creationId xmlns:a16="http://schemas.microsoft.com/office/drawing/2014/main" id="{AACC5C81-DF97-4B37-A4B0-F37B36901339}"/>
            </a:ext>
          </a:extLst>
        </xdr:cNvPr>
        <xdr:cNvSpPr/>
      </xdr:nvSpPr>
      <xdr:spPr>
        <a:xfrm rot="10800000">
          <a:off x="36957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658</xdr:row>
      <xdr:rowOff>0</xdr:rowOff>
    </xdr:from>
    <xdr:to>
      <xdr:col>24</xdr:col>
      <xdr:colOff>83820</xdr:colOff>
      <xdr:row>658</xdr:row>
      <xdr:rowOff>114300</xdr:rowOff>
    </xdr:to>
    <xdr:sp macro="" textlink="">
      <xdr:nvSpPr>
        <xdr:cNvPr id="4882" name="Arrow: Down 4881">
          <a:extLst>
            <a:ext uri="{FF2B5EF4-FFF2-40B4-BE49-F238E27FC236}">
              <a16:creationId xmlns:a16="http://schemas.microsoft.com/office/drawing/2014/main" id="{5FCAE31D-237D-4D9A-B95D-7668828480EA}"/>
            </a:ext>
          </a:extLst>
        </xdr:cNvPr>
        <xdr:cNvSpPr/>
      </xdr:nvSpPr>
      <xdr:spPr>
        <a:xfrm rot="10800000">
          <a:off x="83362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658</xdr:row>
      <xdr:rowOff>0</xdr:rowOff>
    </xdr:from>
    <xdr:to>
      <xdr:col>60</xdr:col>
      <xdr:colOff>83820</xdr:colOff>
      <xdr:row>658</xdr:row>
      <xdr:rowOff>114300</xdr:rowOff>
    </xdr:to>
    <xdr:sp macro="" textlink="">
      <xdr:nvSpPr>
        <xdr:cNvPr id="4884" name="Arrow: Down 4883">
          <a:extLst>
            <a:ext uri="{FF2B5EF4-FFF2-40B4-BE49-F238E27FC236}">
              <a16:creationId xmlns:a16="http://schemas.microsoft.com/office/drawing/2014/main" id="{0CD8907C-0674-4A31-95D5-E4734416035C}"/>
            </a:ext>
          </a:extLst>
        </xdr:cNvPr>
        <xdr:cNvSpPr/>
      </xdr:nvSpPr>
      <xdr:spPr>
        <a:xfrm rot="10800000">
          <a:off x="190804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658</xdr:row>
      <xdr:rowOff>0</xdr:rowOff>
    </xdr:from>
    <xdr:to>
      <xdr:col>71</xdr:col>
      <xdr:colOff>83820</xdr:colOff>
      <xdr:row>658</xdr:row>
      <xdr:rowOff>114300</xdr:rowOff>
    </xdr:to>
    <xdr:sp macro="" textlink="">
      <xdr:nvSpPr>
        <xdr:cNvPr id="4885" name="Arrow: Down 4884">
          <a:extLst>
            <a:ext uri="{FF2B5EF4-FFF2-40B4-BE49-F238E27FC236}">
              <a16:creationId xmlns:a16="http://schemas.microsoft.com/office/drawing/2014/main" id="{60E4FA33-4E40-4EFC-91A4-B80801E5E960}"/>
            </a:ext>
          </a:extLst>
        </xdr:cNvPr>
        <xdr:cNvSpPr/>
      </xdr:nvSpPr>
      <xdr:spPr>
        <a:xfrm rot="10800000">
          <a:off x="2196084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658</xdr:row>
      <xdr:rowOff>0</xdr:rowOff>
    </xdr:from>
    <xdr:to>
      <xdr:col>39</xdr:col>
      <xdr:colOff>83820</xdr:colOff>
      <xdr:row>658</xdr:row>
      <xdr:rowOff>114300</xdr:rowOff>
    </xdr:to>
    <xdr:sp macro="" textlink="">
      <xdr:nvSpPr>
        <xdr:cNvPr id="4886" name="Arrow: Down 4885">
          <a:extLst>
            <a:ext uri="{FF2B5EF4-FFF2-40B4-BE49-F238E27FC236}">
              <a16:creationId xmlns:a16="http://schemas.microsoft.com/office/drawing/2014/main" id="{8E68D462-9365-4037-853F-90B4B23F3129}"/>
            </a:ext>
          </a:extLst>
        </xdr:cNvPr>
        <xdr:cNvSpPr/>
      </xdr:nvSpPr>
      <xdr:spPr>
        <a:xfrm>
          <a:off x="115443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659</xdr:row>
      <xdr:rowOff>0</xdr:rowOff>
    </xdr:from>
    <xdr:to>
      <xdr:col>45</xdr:col>
      <xdr:colOff>83820</xdr:colOff>
      <xdr:row>659</xdr:row>
      <xdr:rowOff>114300</xdr:rowOff>
    </xdr:to>
    <xdr:sp macro="" textlink="">
      <xdr:nvSpPr>
        <xdr:cNvPr id="4907" name="Arrow: Down 4906">
          <a:extLst>
            <a:ext uri="{FF2B5EF4-FFF2-40B4-BE49-F238E27FC236}">
              <a16:creationId xmlns:a16="http://schemas.microsoft.com/office/drawing/2014/main" id="{AAAF0A29-8AD8-4456-9086-8D0EEE40E273}"/>
            </a:ext>
          </a:extLst>
        </xdr:cNvPr>
        <xdr:cNvSpPr/>
      </xdr:nvSpPr>
      <xdr:spPr>
        <a:xfrm>
          <a:off x="134035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83820</xdr:colOff>
      <xdr:row>659</xdr:row>
      <xdr:rowOff>114300</xdr:rowOff>
    </xdr:to>
    <xdr:sp macro="" textlink="">
      <xdr:nvSpPr>
        <xdr:cNvPr id="4909" name="Arrow: Down 4908">
          <a:extLst>
            <a:ext uri="{FF2B5EF4-FFF2-40B4-BE49-F238E27FC236}">
              <a16:creationId xmlns:a16="http://schemas.microsoft.com/office/drawing/2014/main" id="{1F777AFB-2B78-45BD-BC44-5C93CB2327B1}"/>
            </a:ext>
          </a:extLst>
        </xdr:cNvPr>
        <xdr:cNvSpPr/>
      </xdr:nvSpPr>
      <xdr:spPr>
        <a:xfrm rot="10800000">
          <a:off x="192786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659</xdr:row>
      <xdr:rowOff>0</xdr:rowOff>
    </xdr:from>
    <xdr:to>
      <xdr:col>11</xdr:col>
      <xdr:colOff>83820</xdr:colOff>
      <xdr:row>659</xdr:row>
      <xdr:rowOff>114300</xdr:rowOff>
    </xdr:to>
    <xdr:sp macro="" textlink="">
      <xdr:nvSpPr>
        <xdr:cNvPr id="4910" name="Arrow: Down 4909">
          <a:extLst>
            <a:ext uri="{FF2B5EF4-FFF2-40B4-BE49-F238E27FC236}">
              <a16:creationId xmlns:a16="http://schemas.microsoft.com/office/drawing/2014/main" id="{BD064882-1C7E-41E3-891D-F213807C128B}"/>
            </a:ext>
          </a:extLst>
        </xdr:cNvPr>
        <xdr:cNvSpPr/>
      </xdr:nvSpPr>
      <xdr:spPr>
        <a:xfrm rot="10800000">
          <a:off x="369570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659</xdr:row>
      <xdr:rowOff>0</xdr:rowOff>
    </xdr:from>
    <xdr:to>
      <xdr:col>24</xdr:col>
      <xdr:colOff>83820</xdr:colOff>
      <xdr:row>659</xdr:row>
      <xdr:rowOff>114300</xdr:rowOff>
    </xdr:to>
    <xdr:sp macro="" textlink="">
      <xdr:nvSpPr>
        <xdr:cNvPr id="4912" name="Arrow: Down 4911">
          <a:extLst>
            <a:ext uri="{FF2B5EF4-FFF2-40B4-BE49-F238E27FC236}">
              <a16:creationId xmlns:a16="http://schemas.microsoft.com/office/drawing/2014/main" id="{0DCF31E1-0CF1-4F19-89C8-B195A1AE6A59}"/>
            </a:ext>
          </a:extLst>
        </xdr:cNvPr>
        <xdr:cNvSpPr/>
      </xdr:nvSpPr>
      <xdr:spPr>
        <a:xfrm rot="10800000">
          <a:off x="83362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659</xdr:row>
      <xdr:rowOff>0</xdr:rowOff>
    </xdr:from>
    <xdr:to>
      <xdr:col>60</xdr:col>
      <xdr:colOff>83820</xdr:colOff>
      <xdr:row>659</xdr:row>
      <xdr:rowOff>114300</xdr:rowOff>
    </xdr:to>
    <xdr:sp macro="" textlink="">
      <xdr:nvSpPr>
        <xdr:cNvPr id="4913" name="Arrow: Down 4912">
          <a:extLst>
            <a:ext uri="{FF2B5EF4-FFF2-40B4-BE49-F238E27FC236}">
              <a16:creationId xmlns:a16="http://schemas.microsoft.com/office/drawing/2014/main" id="{43C794D6-7236-451E-8192-7B6D3CD4F623}"/>
            </a:ext>
          </a:extLst>
        </xdr:cNvPr>
        <xdr:cNvSpPr/>
      </xdr:nvSpPr>
      <xdr:spPr>
        <a:xfrm rot="10800000">
          <a:off x="190804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659</xdr:row>
      <xdr:rowOff>0</xdr:rowOff>
    </xdr:from>
    <xdr:to>
      <xdr:col>71</xdr:col>
      <xdr:colOff>83820</xdr:colOff>
      <xdr:row>659</xdr:row>
      <xdr:rowOff>114300</xdr:rowOff>
    </xdr:to>
    <xdr:sp macro="" textlink="">
      <xdr:nvSpPr>
        <xdr:cNvPr id="4915" name="Arrow: Down 4914">
          <a:extLst>
            <a:ext uri="{FF2B5EF4-FFF2-40B4-BE49-F238E27FC236}">
              <a16:creationId xmlns:a16="http://schemas.microsoft.com/office/drawing/2014/main" id="{AB3A4C62-20A3-47E4-BDB7-2E96C43524F0}"/>
            </a:ext>
          </a:extLst>
        </xdr:cNvPr>
        <xdr:cNvSpPr/>
      </xdr:nvSpPr>
      <xdr:spPr>
        <a:xfrm rot="10800000">
          <a:off x="2196084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659</xdr:row>
      <xdr:rowOff>0</xdr:rowOff>
    </xdr:from>
    <xdr:to>
      <xdr:col>39</xdr:col>
      <xdr:colOff>83820</xdr:colOff>
      <xdr:row>659</xdr:row>
      <xdr:rowOff>114300</xdr:rowOff>
    </xdr:to>
    <xdr:sp macro="" textlink="">
      <xdr:nvSpPr>
        <xdr:cNvPr id="4916" name="Arrow: Down 4915">
          <a:extLst>
            <a:ext uri="{FF2B5EF4-FFF2-40B4-BE49-F238E27FC236}">
              <a16:creationId xmlns:a16="http://schemas.microsoft.com/office/drawing/2014/main" id="{13005F9B-F1B8-4BDA-8E0E-95C5DDA03E93}"/>
            </a:ext>
          </a:extLst>
        </xdr:cNvPr>
        <xdr:cNvSpPr/>
      </xdr:nvSpPr>
      <xdr:spPr>
        <a:xfrm>
          <a:off x="1154430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660</xdr:row>
      <xdr:rowOff>0</xdr:rowOff>
    </xdr:from>
    <xdr:to>
      <xdr:col>45</xdr:col>
      <xdr:colOff>83820</xdr:colOff>
      <xdr:row>660</xdr:row>
      <xdr:rowOff>114300</xdr:rowOff>
    </xdr:to>
    <xdr:sp macro="" textlink="">
      <xdr:nvSpPr>
        <xdr:cNvPr id="4917" name="Arrow: Down 4916">
          <a:extLst>
            <a:ext uri="{FF2B5EF4-FFF2-40B4-BE49-F238E27FC236}">
              <a16:creationId xmlns:a16="http://schemas.microsoft.com/office/drawing/2014/main" id="{7B45E0E9-4944-42EA-8BD6-EB12B478B589}"/>
            </a:ext>
          </a:extLst>
        </xdr:cNvPr>
        <xdr:cNvSpPr/>
      </xdr:nvSpPr>
      <xdr:spPr>
        <a:xfrm>
          <a:off x="1340358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660</xdr:row>
      <xdr:rowOff>0</xdr:rowOff>
    </xdr:from>
    <xdr:to>
      <xdr:col>60</xdr:col>
      <xdr:colOff>83820</xdr:colOff>
      <xdr:row>660</xdr:row>
      <xdr:rowOff>114300</xdr:rowOff>
    </xdr:to>
    <xdr:sp macro="" textlink="">
      <xdr:nvSpPr>
        <xdr:cNvPr id="4923" name="Arrow: Down 4922">
          <a:extLst>
            <a:ext uri="{FF2B5EF4-FFF2-40B4-BE49-F238E27FC236}">
              <a16:creationId xmlns:a16="http://schemas.microsoft.com/office/drawing/2014/main" id="{0FFBDA70-6FBB-4C10-B7B1-E75C516A971C}"/>
            </a:ext>
          </a:extLst>
        </xdr:cNvPr>
        <xdr:cNvSpPr/>
      </xdr:nvSpPr>
      <xdr:spPr>
        <a:xfrm rot="10800000">
          <a:off x="1908048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660</xdr:row>
      <xdr:rowOff>0</xdr:rowOff>
    </xdr:from>
    <xdr:to>
      <xdr:col>71</xdr:col>
      <xdr:colOff>83820</xdr:colOff>
      <xdr:row>660</xdr:row>
      <xdr:rowOff>114300</xdr:rowOff>
    </xdr:to>
    <xdr:sp macro="" textlink="">
      <xdr:nvSpPr>
        <xdr:cNvPr id="4925" name="Arrow: Down 4924">
          <a:extLst>
            <a:ext uri="{FF2B5EF4-FFF2-40B4-BE49-F238E27FC236}">
              <a16:creationId xmlns:a16="http://schemas.microsoft.com/office/drawing/2014/main" id="{A2C1056D-B107-4A7D-BF20-A4C0A02563A3}"/>
            </a:ext>
          </a:extLst>
        </xdr:cNvPr>
        <xdr:cNvSpPr/>
      </xdr:nvSpPr>
      <xdr:spPr>
        <a:xfrm rot="10800000">
          <a:off x="2196084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660</xdr:row>
      <xdr:rowOff>0</xdr:rowOff>
    </xdr:from>
    <xdr:to>
      <xdr:col>39</xdr:col>
      <xdr:colOff>83820</xdr:colOff>
      <xdr:row>660</xdr:row>
      <xdr:rowOff>114300</xdr:rowOff>
    </xdr:to>
    <xdr:sp macro="" textlink="">
      <xdr:nvSpPr>
        <xdr:cNvPr id="4926" name="Arrow: Down 4925">
          <a:extLst>
            <a:ext uri="{FF2B5EF4-FFF2-40B4-BE49-F238E27FC236}">
              <a16:creationId xmlns:a16="http://schemas.microsoft.com/office/drawing/2014/main" id="{449439B9-8249-4C22-847D-3F09AD1650CD}"/>
            </a:ext>
          </a:extLst>
        </xdr:cNvPr>
        <xdr:cNvSpPr/>
      </xdr:nvSpPr>
      <xdr:spPr>
        <a:xfrm>
          <a:off x="1154430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660</xdr:row>
      <xdr:rowOff>0</xdr:rowOff>
    </xdr:from>
    <xdr:to>
      <xdr:col>5</xdr:col>
      <xdr:colOff>83820</xdr:colOff>
      <xdr:row>660</xdr:row>
      <xdr:rowOff>114300</xdr:rowOff>
    </xdr:to>
    <xdr:sp macro="" textlink="">
      <xdr:nvSpPr>
        <xdr:cNvPr id="4932" name="Arrow: Down 4931">
          <a:extLst>
            <a:ext uri="{FF2B5EF4-FFF2-40B4-BE49-F238E27FC236}">
              <a16:creationId xmlns:a16="http://schemas.microsoft.com/office/drawing/2014/main" id="{4CB663D5-8A76-4CCD-B8B3-56E0BE44BDE0}"/>
            </a:ext>
          </a:extLst>
        </xdr:cNvPr>
        <xdr:cNvSpPr/>
      </xdr:nvSpPr>
      <xdr:spPr>
        <a:xfrm>
          <a:off x="192786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660</xdr:row>
      <xdr:rowOff>0</xdr:rowOff>
    </xdr:from>
    <xdr:to>
      <xdr:col>11</xdr:col>
      <xdr:colOff>83820</xdr:colOff>
      <xdr:row>660</xdr:row>
      <xdr:rowOff>114300</xdr:rowOff>
    </xdr:to>
    <xdr:sp macro="" textlink="">
      <xdr:nvSpPr>
        <xdr:cNvPr id="4934" name="Arrow: Down 4933">
          <a:extLst>
            <a:ext uri="{FF2B5EF4-FFF2-40B4-BE49-F238E27FC236}">
              <a16:creationId xmlns:a16="http://schemas.microsoft.com/office/drawing/2014/main" id="{9963BF54-7C53-4F53-88AA-A4805A1D983C}"/>
            </a:ext>
          </a:extLst>
        </xdr:cNvPr>
        <xdr:cNvSpPr/>
      </xdr:nvSpPr>
      <xdr:spPr>
        <a:xfrm>
          <a:off x="369570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660</xdr:row>
      <xdr:rowOff>0</xdr:rowOff>
    </xdr:from>
    <xdr:to>
      <xdr:col>24</xdr:col>
      <xdr:colOff>83820</xdr:colOff>
      <xdr:row>660</xdr:row>
      <xdr:rowOff>114300</xdr:rowOff>
    </xdr:to>
    <xdr:sp macro="" textlink="">
      <xdr:nvSpPr>
        <xdr:cNvPr id="4936" name="Arrow: Down 4935">
          <a:extLst>
            <a:ext uri="{FF2B5EF4-FFF2-40B4-BE49-F238E27FC236}">
              <a16:creationId xmlns:a16="http://schemas.microsoft.com/office/drawing/2014/main" id="{7368DDBB-B434-48AB-97A9-7DCF0DFA83D5}"/>
            </a:ext>
          </a:extLst>
        </xdr:cNvPr>
        <xdr:cNvSpPr/>
      </xdr:nvSpPr>
      <xdr:spPr>
        <a:xfrm>
          <a:off x="833628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661</xdr:row>
      <xdr:rowOff>0</xdr:rowOff>
    </xdr:from>
    <xdr:to>
      <xdr:col>45</xdr:col>
      <xdr:colOff>83820</xdr:colOff>
      <xdr:row>661</xdr:row>
      <xdr:rowOff>114300</xdr:rowOff>
    </xdr:to>
    <xdr:sp macro="" textlink="">
      <xdr:nvSpPr>
        <xdr:cNvPr id="4758" name="Arrow: Down 4757">
          <a:extLst>
            <a:ext uri="{FF2B5EF4-FFF2-40B4-BE49-F238E27FC236}">
              <a16:creationId xmlns:a16="http://schemas.microsoft.com/office/drawing/2014/main" id="{6EB1A473-F8DC-428C-965D-F1EF2B28041E}"/>
            </a:ext>
          </a:extLst>
        </xdr:cNvPr>
        <xdr:cNvSpPr/>
      </xdr:nvSpPr>
      <xdr:spPr>
        <a:xfrm>
          <a:off x="1340358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661</xdr:row>
      <xdr:rowOff>0</xdr:rowOff>
    </xdr:from>
    <xdr:to>
      <xdr:col>60</xdr:col>
      <xdr:colOff>83820</xdr:colOff>
      <xdr:row>661</xdr:row>
      <xdr:rowOff>114300</xdr:rowOff>
    </xdr:to>
    <xdr:sp macro="" textlink="">
      <xdr:nvSpPr>
        <xdr:cNvPr id="4808" name="Arrow: Down 4807">
          <a:extLst>
            <a:ext uri="{FF2B5EF4-FFF2-40B4-BE49-F238E27FC236}">
              <a16:creationId xmlns:a16="http://schemas.microsoft.com/office/drawing/2014/main" id="{ADC9D65F-4AE5-4493-B3D6-C3EAEF48FB45}"/>
            </a:ext>
          </a:extLst>
        </xdr:cNvPr>
        <xdr:cNvSpPr/>
      </xdr:nvSpPr>
      <xdr:spPr>
        <a:xfrm rot="10800000">
          <a:off x="1908048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661</xdr:row>
      <xdr:rowOff>0</xdr:rowOff>
    </xdr:from>
    <xdr:to>
      <xdr:col>71</xdr:col>
      <xdr:colOff>83820</xdr:colOff>
      <xdr:row>661</xdr:row>
      <xdr:rowOff>114300</xdr:rowOff>
    </xdr:to>
    <xdr:sp macro="" textlink="">
      <xdr:nvSpPr>
        <xdr:cNvPr id="4817" name="Arrow: Down 4816">
          <a:extLst>
            <a:ext uri="{FF2B5EF4-FFF2-40B4-BE49-F238E27FC236}">
              <a16:creationId xmlns:a16="http://schemas.microsoft.com/office/drawing/2014/main" id="{23BD390D-F1F2-43C2-A7B9-1185864FC050}"/>
            </a:ext>
          </a:extLst>
        </xdr:cNvPr>
        <xdr:cNvSpPr/>
      </xdr:nvSpPr>
      <xdr:spPr>
        <a:xfrm rot="10800000">
          <a:off x="2196084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661</xdr:row>
      <xdr:rowOff>0</xdr:rowOff>
    </xdr:from>
    <xdr:to>
      <xdr:col>39</xdr:col>
      <xdr:colOff>83820</xdr:colOff>
      <xdr:row>661</xdr:row>
      <xdr:rowOff>114300</xdr:rowOff>
    </xdr:to>
    <xdr:sp macro="" textlink="">
      <xdr:nvSpPr>
        <xdr:cNvPr id="4819" name="Arrow: Down 4818">
          <a:extLst>
            <a:ext uri="{FF2B5EF4-FFF2-40B4-BE49-F238E27FC236}">
              <a16:creationId xmlns:a16="http://schemas.microsoft.com/office/drawing/2014/main" id="{001A6C88-2A4E-4FA9-B0B0-4F17E4887380}"/>
            </a:ext>
          </a:extLst>
        </xdr:cNvPr>
        <xdr:cNvSpPr/>
      </xdr:nvSpPr>
      <xdr:spPr>
        <a:xfrm>
          <a:off x="1154430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661</xdr:row>
      <xdr:rowOff>0</xdr:rowOff>
    </xdr:from>
    <xdr:to>
      <xdr:col>5</xdr:col>
      <xdr:colOff>83820</xdr:colOff>
      <xdr:row>661</xdr:row>
      <xdr:rowOff>114300</xdr:rowOff>
    </xdr:to>
    <xdr:sp macro="" textlink="">
      <xdr:nvSpPr>
        <xdr:cNvPr id="4821" name="Arrow: Down 4820">
          <a:extLst>
            <a:ext uri="{FF2B5EF4-FFF2-40B4-BE49-F238E27FC236}">
              <a16:creationId xmlns:a16="http://schemas.microsoft.com/office/drawing/2014/main" id="{D179A18C-76A4-47C3-B5D6-21BE96D7273D}"/>
            </a:ext>
          </a:extLst>
        </xdr:cNvPr>
        <xdr:cNvSpPr/>
      </xdr:nvSpPr>
      <xdr:spPr>
        <a:xfrm>
          <a:off x="192786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661</xdr:row>
      <xdr:rowOff>0</xdr:rowOff>
    </xdr:from>
    <xdr:to>
      <xdr:col>11</xdr:col>
      <xdr:colOff>83820</xdr:colOff>
      <xdr:row>661</xdr:row>
      <xdr:rowOff>114300</xdr:rowOff>
    </xdr:to>
    <xdr:sp macro="" textlink="">
      <xdr:nvSpPr>
        <xdr:cNvPr id="4823" name="Arrow: Down 4822">
          <a:extLst>
            <a:ext uri="{FF2B5EF4-FFF2-40B4-BE49-F238E27FC236}">
              <a16:creationId xmlns:a16="http://schemas.microsoft.com/office/drawing/2014/main" id="{5B3775C1-8EFC-47E2-A584-E36D489AE5F8}"/>
            </a:ext>
          </a:extLst>
        </xdr:cNvPr>
        <xdr:cNvSpPr/>
      </xdr:nvSpPr>
      <xdr:spPr>
        <a:xfrm>
          <a:off x="369570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661</xdr:row>
      <xdr:rowOff>0</xdr:rowOff>
    </xdr:from>
    <xdr:to>
      <xdr:col>24</xdr:col>
      <xdr:colOff>83820</xdr:colOff>
      <xdr:row>661</xdr:row>
      <xdr:rowOff>114300</xdr:rowOff>
    </xdr:to>
    <xdr:sp macro="" textlink="">
      <xdr:nvSpPr>
        <xdr:cNvPr id="4828" name="Arrow: Down 4827">
          <a:extLst>
            <a:ext uri="{FF2B5EF4-FFF2-40B4-BE49-F238E27FC236}">
              <a16:creationId xmlns:a16="http://schemas.microsoft.com/office/drawing/2014/main" id="{E1800099-59F0-4352-8B22-178BF0545E02}"/>
            </a:ext>
          </a:extLst>
        </xdr:cNvPr>
        <xdr:cNvSpPr/>
      </xdr:nvSpPr>
      <xdr:spPr>
        <a:xfrm>
          <a:off x="833628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662</xdr:row>
      <xdr:rowOff>0</xdr:rowOff>
    </xdr:from>
    <xdr:to>
      <xdr:col>45</xdr:col>
      <xdr:colOff>83820</xdr:colOff>
      <xdr:row>662</xdr:row>
      <xdr:rowOff>114300</xdr:rowOff>
    </xdr:to>
    <xdr:sp macro="" textlink="">
      <xdr:nvSpPr>
        <xdr:cNvPr id="4851" name="Arrow: Down 4850">
          <a:extLst>
            <a:ext uri="{FF2B5EF4-FFF2-40B4-BE49-F238E27FC236}">
              <a16:creationId xmlns:a16="http://schemas.microsoft.com/office/drawing/2014/main" id="{79728E62-42CE-4D03-BB50-8F99B2DAC83F}"/>
            </a:ext>
          </a:extLst>
        </xdr:cNvPr>
        <xdr:cNvSpPr/>
      </xdr:nvSpPr>
      <xdr:spPr>
        <a:xfrm>
          <a:off x="1340358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662</xdr:row>
      <xdr:rowOff>0</xdr:rowOff>
    </xdr:from>
    <xdr:to>
      <xdr:col>71</xdr:col>
      <xdr:colOff>83820</xdr:colOff>
      <xdr:row>662</xdr:row>
      <xdr:rowOff>114300</xdr:rowOff>
    </xdr:to>
    <xdr:sp macro="" textlink="">
      <xdr:nvSpPr>
        <xdr:cNvPr id="4861" name="Arrow: Down 4860">
          <a:extLst>
            <a:ext uri="{FF2B5EF4-FFF2-40B4-BE49-F238E27FC236}">
              <a16:creationId xmlns:a16="http://schemas.microsoft.com/office/drawing/2014/main" id="{6C3AAF0B-352D-443E-9834-3A7A038D6CB7}"/>
            </a:ext>
          </a:extLst>
        </xdr:cNvPr>
        <xdr:cNvSpPr/>
      </xdr:nvSpPr>
      <xdr:spPr>
        <a:xfrm rot="10800000">
          <a:off x="2196084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662</xdr:row>
      <xdr:rowOff>0</xdr:rowOff>
    </xdr:from>
    <xdr:to>
      <xdr:col>39</xdr:col>
      <xdr:colOff>83820</xdr:colOff>
      <xdr:row>662</xdr:row>
      <xdr:rowOff>114300</xdr:rowOff>
    </xdr:to>
    <xdr:sp macro="" textlink="">
      <xdr:nvSpPr>
        <xdr:cNvPr id="4863" name="Arrow: Down 4862">
          <a:extLst>
            <a:ext uri="{FF2B5EF4-FFF2-40B4-BE49-F238E27FC236}">
              <a16:creationId xmlns:a16="http://schemas.microsoft.com/office/drawing/2014/main" id="{67698F22-57FD-4D65-8B5E-B682E85E6127}"/>
            </a:ext>
          </a:extLst>
        </xdr:cNvPr>
        <xdr:cNvSpPr/>
      </xdr:nvSpPr>
      <xdr:spPr>
        <a:xfrm>
          <a:off x="1154430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662</xdr:row>
      <xdr:rowOff>0</xdr:rowOff>
    </xdr:from>
    <xdr:to>
      <xdr:col>24</xdr:col>
      <xdr:colOff>83820</xdr:colOff>
      <xdr:row>662</xdr:row>
      <xdr:rowOff>114300</xdr:rowOff>
    </xdr:to>
    <xdr:sp macro="" textlink="">
      <xdr:nvSpPr>
        <xdr:cNvPr id="4869" name="Arrow: Down 4868">
          <a:extLst>
            <a:ext uri="{FF2B5EF4-FFF2-40B4-BE49-F238E27FC236}">
              <a16:creationId xmlns:a16="http://schemas.microsoft.com/office/drawing/2014/main" id="{EA118993-3A26-4463-943F-C9B82CB988B7}"/>
            </a:ext>
          </a:extLst>
        </xdr:cNvPr>
        <xdr:cNvSpPr/>
      </xdr:nvSpPr>
      <xdr:spPr>
        <a:xfrm>
          <a:off x="8336280" y="12098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662</xdr:row>
      <xdr:rowOff>0</xdr:rowOff>
    </xdr:from>
    <xdr:to>
      <xdr:col>60</xdr:col>
      <xdr:colOff>83820</xdr:colOff>
      <xdr:row>662</xdr:row>
      <xdr:rowOff>114300</xdr:rowOff>
    </xdr:to>
    <xdr:sp macro="" textlink="">
      <xdr:nvSpPr>
        <xdr:cNvPr id="4872" name="Arrow: Down 4871">
          <a:extLst>
            <a:ext uri="{FF2B5EF4-FFF2-40B4-BE49-F238E27FC236}">
              <a16:creationId xmlns:a16="http://schemas.microsoft.com/office/drawing/2014/main" id="{DD5F5837-BCEF-4153-8B74-8FEF522E3CDC}"/>
            </a:ext>
          </a:extLst>
        </xdr:cNvPr>
        <xdr:cNvSpPr/>
      </xdr:nvSpPr>
      <xdr:spPr>
        <a:xfrm>
          <a:off x="19080480" y="12116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662</xdr:row>
      <xdr:rowOff>0</xdr:rowOff>
    </xdr:from>
    <xdr:to>
      <xdr:col>5</xdr:col>
      <xdr:colOff>83820</xdr:colOff>
      <xdr:row>662</xdr:row>
      <xdr:rowOff>114300</xdr:rowOff>
    </xdr:to>
    <xdr:sp macro="" textlink="">
      <xdr:nvSpPr>
        <xdr:cNvPr id="4874" name="Arrow: Down 4873">
          <a:extLst>
            <a:ext uri="{FF2B5EF4-FFF2-40B4-BE49-F238E27FC236}">
              <a16:creationId xmlns:a16="http://schemas.microsoft.com/office/drawing/2014/main" id="{758C7499-8F00-437A-BFD0-3EAB7DD0A9ED}"/>
            </a:ext>
          </a:extLst>
        </xdr:cNvPr>
        <xdr:cNvSpPr/>
      </xdr:nvSpPr>
      <xdr:spPr>
        <a:xfrm rot="10800000">
          <a:off x="192786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663</xdr:row>
      <xdr:rowOff>0</xdr:rowOff>
    </xdr:from>
    <xdr:to>
      <xdr:col>45</xdr:col>
      <xdr:colOff>83820</xdr:colOff>
      <xdr:row>663</xdr:row>
      <xdr:rowOff>114300</xdr:rowOff>
    </xdr:to>
    <xdr:sp macro="" textlink="">
      <xdr:nvSpPr>
        <xdr:cNvPr id="4899" name="Arrow: Down 4898">
          <a:extLst>
            <a:ext uri="{FF2B5EF4-FFF2-40B4-BE49-F238E27FC236}">
              <a16:creationId xmlns:a16="http://schemas.microsoft.com/office/drawing/2014/main" id="{594BED6C-6530-4478-8AF0-382955546770}"/>
            </a:ext>
          </a:extLst>
        </xdr:cNvPr>
        <xdr:cNvSpPr/>
      </xdr:nvSpPr>
      <xdr:spPr>
        <a:xfrm>
          <a:off x="1340358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663</xdr:row>
      <xdr:rowOff>0</xdr:rowOff>
    </xdr:from>
    <xdr:to>
      <xdr:col>71</xdr:col>
      <xdr:colOff>83820</xdr:colOff>
      <xdr:row>663</xdr:row>
      <xdr:rowOff>114300</xdr:rowOff>
    </xdr:to>
    <xdr:sp macro="" textlink="">
      <xdr:nvSpPr>
        <xdr:cNvPr id="4904" name="Arrow: Down 4903">
          <a:extLst>
            <a:ext uri="{FF2B5EF4-FFF2-40B4-BE49-F238E27FC236}">
              <a16:creationId xmlns:a16="http://schemas.microsoft.com/office/drawing/2014/main" id="{45C9DCDB-9012-43BF-8F86-B8E5F69988E2}"/>
            </a:ext>
          </a:extLst>
        </xdr:cNvPr>
        <xdr:cNvSpPr/>
      </xdr:nvSpPr>
      <xdr:spPr>
        <a:xfrm rot="10800000">
          <a:off x="2196084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663</xdr:row>
      <xdr:rowOff>0</xdr:rowOff>
    </xdr:from>
    <xdr:to>
      <xdr:col>60</xdr:col>
      <xdr:colOff>83820</xdr:colOff>
      <xdr:row>663</xdr:row>
      <xdr:rowOff>114300</xdr:rowOff>
    </xdr:to>
    <xdr:sp macro="" textlink="">
      <xdr:nvSpPr>
        <xdr:cNvPr id="4928" name="Arrow: Down 4927">
          <a:extLst>
            <a:ext uri="{FF2B5EF4-FFF2-40B4-BE49-F238E27FC236}">
              <a16:creationId xmlns:a16="http://schemas.microsoft.com/office/drawing/2014/main" id="{0F5F1192-8CA0-45AA-9680-92B9CA52E845}"/>
            </a:ext>
          </a:extLst>
        </xdr:cNvPr>
        <xdr:cNvSpPr/>
      </xdr:nvSpPr>
      <xdr:spPr>
        <a:xfrm>
          <a:off x="19080480" y="12116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663</xdr:row>
      <xdr:rowOff>0</xdr:rowOff>
    </xdr:from>
    <xdr:to>
      <xdr:col>5</xdr:col>
      <xdr:colOff>83820</xdr:colOff>
      <xdr:row>663</xdr:row>
      <xdr:rowOff>114300</xdr:rowOff>
    </xdr:to>
    <xdr:sp macro="" textlink="">
      <xdr:nvSpPr>
        <xdr:cNvPr id="4933" name="Arrow: Down 4932">
          <a:extLst>
            <a:ext uri="{FF2B5EF4-FFF2-40B4-BE49-F238E27FC236}">
              <a16:creationId xmlns:a16="http://schemas.microsoft.com/office/drawing/2014/main" id="{F9E2A5DB-D15F-4989-A516-8A47A471E946}"/>
            </a:ext>
          </a:extLst>
        </xdr:cNvPr>
        <xdr:cNvSpPr/>
      </xdr:nvSpPr>
      <xdr:spPr>
        <a:xfrm rot="10800000">
          <a:off x="192786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662</xdr:row>
      <xdr:rowOff>0</xdr:rowOff>
    </xdr:from>
    <xdr:to>
      <xdr:col>11</xdr:col>
      <xdr:colOff>83820</xdr:colOff>
      <xdr:row>662</xdr:row>
      <xdr:rowOff>114300</xdr:rowOff>
    </xdr:to>
    <xdr:sp macro="" textlink="">
      <xdr:nvSpPr>
        <xdr:cNvPr id="4937" name="Arrow: Down 4936">
          <a:extLst>
            <a:ext uri="{FF2B5EF4-FFF2-40B4-BE49-F238E27FC236}">
              <a16:creationId xmlns:a16="http://schemas.microsoft.com/office/drawing/2014/main" id="{6B608E2F-6625-488B-B3C1-7B6D682C8D72}"/>
            </a:ext>
          </a:extLst>
        </xdr:cNvPr>
        <xdr:cNvSpPr/>
      </xdr:nvSpPr>
      <xdr:spPr>
        <a:xfrm rot="10800000">
          <a:off x="369570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663</xdr:row>
      <xdr:rowOff>0</xdr:rowOff>
    </xdr:from>
    <xdr:to>
      <xdr:col>11</xdr:col>
      <xdr:colOff>83820</xdr:colOff>
      <xdr:row>663</xdr:row>
      <xdr:rowOff>114300</xdr:rowOff>
    </xdr:to>
    <xdr:sp macro="" textlink="">
      <xdr:nvSpPr>
        <xdr:cNvPr id="4938" name="Arrow: Down 4937">
          <a:extLst>
            <a:ext uri="{FF2B5EF4-FFF2-40B4-BE49-F238E27FC236}">
              <a16:creationId xmlns:a16="http://schemas.microsoft.com/office/drawing/2014/main" id="{32EEFC8D-D1EC-4809-81A5-07A1FA34572F}"/>
            </a:ext>
          </a:extLst>
        </xdr:cNvPr>
        <xdr:cNvSpPr/>
      </xdr:nvSpPr>
      <xdr:spPr>
        <a:xfrm rot="10800000">
          <a:off x="369570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663</xdr:row>
      <xdr:rowOff>0</xdr:rowOff>
    </xdr:from>
    <xdr:to>
      <xdr:col>24</xdr:col>
      <xdr:colOff>83820</xdr:colOff>
      <xdr:row>663</xdr:row>
      <xdr:rowOff>114300</xdr:rowOff>
    </xdr:to>
    <xdr:sp macro="" textlink="">
      <xdr:nvSpPr>
        <xdr:cNvPr id="4940" name="Arrow: Down 4939">
          <a:extLst>
            <a:ext uri="{FF2B5EF4-FFF2-40B4-BE49-F238E27FC236}">
              <a16:creationId xmlns:a16="http://schemas.microsoft.com/office/drawing/2014/main" id="{92A16810-5812-4330-B020-41113B17D9E4}"/>
            </a:ext>
          </a:extLst>
        </xdr:cNvPr>
        <xdr:cNvSpPr/>
      </xdr:nvSpPr>
      <xdr:spPr>
        <a:xfrm rot="10800000">
          <a:off x="83362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663</xdr:row>
      <xdr:rowOff>0</xdr:rowOff>
    </xdr:from>
    <xdr:to>
      <xdr:col>39</xdr:col>
      <xdr:colOff>83820</xdr:colOff>
      <xdr:row>663</xdr:row>
      <xdr:rowOff>114300</xdr:rowOff>
    </xdr:to>
    <xdr:sp macro="" textlink="">
      <xdr:nvSpPr>
        <xdr:cNvPr id="4945" name="Arrow: Down 4944">
          <a:extLst>
            <a:ext uri="{FF2B5EF4-FFF2-40B4-BE49-F238E27FC236}">
              <a16:creationId xmlns:a16="http://schemas.microsoft.com/office/drawing/2014/main" id="{83B1E1DA-D576-4ED4-AC4F-FC3016EA3446}"/>
            </a:ext>
          </a:extLst>
        </xdr:cNvPr>
        <xdr:cNvSpPr/>
      </xdr:nvSpPr>
      <xdr:spPr>
        <a:xfrm rot="10800000">
          <a:off x="11544300" y="121348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664</xdr:row>
      <xdr:rowOff>0</xdr:rowOff>
    </xdr:from>
    <xdr:to>
      <xdr:col>45</xdr:col>
      <xdr:colOff>83820</xdr:colOff>
      <xdr:row>664</xdr:row>
      <xdr:rowOff>114300</xdr:rowOff>
    </xdr:to>
    <xdr:sp macro="" textlink="">
      <xdr:nvSpPr>
        <xdr:cNvPr id="4964" name="Arrow: Down 4963">
          <a:extLst>
            <a:ext uri="{FF2B5EF4-FFF2-40B4-BE49-F238E27FC236}">
              <a16:creationId xmlns:a16="http://schemas.microsoft.com/office/drawing/2014/main" id="{06817BCB-9338-420E-9042-03E3D19890AA}"/>
            </a:ext>
          </a:extLst>
        </xdr:cNvPr>
        <xdr:cNvSpPr/>
      </xdr:nvSpPr>
      <xdr:spPr>
        <a:xfrm>
          <a:off x="134035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664</xdr:row>
      <xdr:rowOff>0</xdr:rowOff>
    </xdr:from>
    <xdr:to>
      <xdr:col>71</xdr:col>
      <xdr:colOff>83820</xdr:colOff>
      <xdr:row>664</xdr:row>
      <xdr:rowOff>114300</xdr:rowOff>
    </xdr:to>
    <xdr:sp macro="" textlink="">
      <xdr:nvSpPr>
        <xdr:cNvPr id="4965" name="Arrow: Down 4964">
          <a:extLst>
            <a:ext uri="{FF2B5EF4-FFF2-40B4-BE49-F238E27FC236}">
              <a16:creationId xmlns:a16="http://schemas.microsoft.com/office/drawing/2014/main" id="{54155BB6-C20E-4E4F-A179-FD605D39496B}"/>
            </a:ext>
          </a:extLst>
        </xdr:cNvPr>
        <xdr:cNvSpPr/>
      </xdr:nvSpPr>
      <xdr:spPr>
        <a:xfrm rot="10800000">
          <a:off x="2196084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664</xdr:row>
      <xdr:rowOff>0</xdr:rowOff>
    </xdr:from>
    <xdr:to>
      <xdr:col>5</xdr:col>
      <xdr:colOff>83820</xdr:colOff>
      <xdr:row>664</xdr:row>
      <xdr:rowOff>114300</xdr:rowOff>
    </xdr:to>
    <xdr:sp macro="" textlink="">
      <xdr:nvSpPr>
        <xdr:cNvPr id="4967" name="Arrow: Down 4966">
          <a:extLst>
            <a:ext uri="{FF2B5EF4-FFF2-40B4-BE49-F238E27FC236}">
              <a16:creationId xmlns:a16="http://schemas.microsoft.com/office/drawing/2014/main" id="{C3450928-9EE8-4E4C-8509-151C2E3173C1}"/>
            </a:ext>
          </a:extLst>
        </xdr:cNvPr>
        <xdr:cNvSpPr/>
      </xdr:nvSpPr>
      <xdr:spPr>
        <a:xfrm rot="10800000">
          <a:off x="192786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664</xdr:row>
      <xdr:rowOff>0</xdr:rowOff>
    </xdr:from>
    <xdr:to>
      <xdr:col>11</xdr:col>
      <xdr:colOff>83820</xdr:colOff>
      <xdr:row>664</xdr:row>
      <xdr:rowOff>114300</xdr:rowOff>
    </xdr:to>
    <xdr:sp macro="" textlink="">
      <xdr:nvSpPr>
        <xdr:cNvPr id="4968" name="Arrow: Down 4967">
          <a:extLst>
            <a:ext uri="{FF2B5EF4-FFF2-40B4-BE49-F238E27FC236}">
              <a16:creationId xmlns:a16="http://schemas.microsoft.com/office/drawing/2014/main" id="{36A51B80-C0CD-4C23-87DF-AE02FD9DE09E}"/>
            </a:ext>
          </a:extLst>
        </xdr:cNvPr>
        <xdr:cNvSpPr/>
      </xdr:nvSpPr>
      <xdr:spPr>
        <a:xfrm rot="10800000">
          <a:off x="369570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664</xdr:row>
      <xdr:rowOff>0</xdr:rowOff>
    </xdr:from>
    <xdr:to>
      <xdr:col>24</xdr:col>
      <xdr:colOff>83820</xdr:colOff>
      <xdr:row>664</xdr:row>
      <xdr:rowOff>114300</xdr:rowOff>
    </xdr:to>
    <xdr:sp macro="" textlink="">
      <xdr:nvSpPr>
        <xdr:cNvPr id="4969" name="Arrow: Down 4968">
          <a:extLst>
            <a:ext uri="{FF2B5EF4-FFF2-40B4-BE49-F238E27FC236}">
              <a16:creationId xmlns:a16="http://schemas.microsoft.com/office/drawing/2014/main" id="{EE1F456F-3DBF-4BF1-96A3-1584BC80FD09}"/>
            </a:ext>
          </a:extLst>
        </xdr:cNvPr>
        <xdr:cNvSpPr/>
      </xdr:nvSpPr>
      <xdr:spPr>
        <a:xfrm rot="10800000">
          <a:off x="83362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664</xdr:row>
      <xdr:rowOff>0</xdr:rowOff>
    </xdr:from>
    <xdr:to>
      <xdr:col>39</xdr:col>
      <xdr:colOff>83820</xdr:colOff>
      <xdr:row>664</xdr:row>
      <xdr:rowOff>114300</xdr:rowOff>
    </xdr:to>
    <xdr:sp macro="" textlink="">
      <xdr:nvSpPr>
        <xdr:cNvPr id="4979" name="Arrow: Down 4978">
          <a:extLst>
            <a:ext uri="{FF2B5EF4-FFF2-40B4-BE49-F238E27FC236}">
              <a16:creationId xmlns:a16="http://schemas.microsoft.com/office/drawing/2014/main" id="{BACF8E52-F00C-44BA-812B-67990C11214C}"/>
            </a:ext>
          </a:extLst>
        </xdr:cNvPr>
        <xdr:cNvSpPr/>
      </xdr:nvSpPr>
      <xdr:spPr>
        <a:xfrm>
          <a:off x="115443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664</xdr:row>
      <xdr:rowOff>0</xdr:rowOff>
    </xdr:from>
    <xdr:to>
      <xdr:col>60</xdr:col>
      <xdr:colOff>83820</xdr:colOff>
      <xdr:row>664</xdr:row>
      <xdr:rowOff>114300</xdr:rowOff>
    </xdr:to>
    <xdr:sp macro="" textlink="">
      <xdr:nvSpPr>
        <xdr:cNvPr id="4987" name="Arrow: Down 4986">
          <a:extLst>
            <a:ext uri="{FF2B5EF4-FFF2-40B4-BE49-F238E27FC236}">
              <a16:creationId xmlns:a16="http://schemas.microsoft.com/office/drawing/2014/main" id="{8DFCE9E4-BDAF-40ED-972E-7D745D473A2C}"/>
            </a:ext>
          </a:extLst>
        </xdr:cNvPr>
        <xdr:cNvSpPr/>
      </xdr:nvSpPr>
      <xdr:spPr>
        <a:xfrm rot="10800000">
          <a:off x="190804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665</xdr:row>
      <xdr:rowOff>0</xdr:rowOff>
    </xdr:from>
    <xdr:to>
      <xdr:col>45</xdr:col>
      <xdr:colOff>83820</xdr:colOff>
      <xdr:row>665</xdr:row>
      <xdr:rowOff>114300</xdr:rowOff>
    </xdr:to>
    <xdr:sp macro="" textlink="">
      <xdr:nvSpPr>
        <xdr:cNvPr id="5011" name="Arrow: Down 5010">
          <a:extLst>
            <a:ext uri="{FF2B5EF4-FFF2-40B4-BE49-F238E27FC236}">
              <a16:creationId xmlns:a16="http://schemas.microsoft.com/office/drawing/2014/main" id="{1CB291B4-76E0-4D87-B3A1-A0B5E1C01FCA}"/>
            </a:ext>
          </a:extLst>
        </xdr:cNvPr>
        <xdr:cNvSpPr/>
      </xdr:nvSpPr>
      <xdr:spPr>
        <a:xfrm>
          <a:off x="134035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665</xdr:row>
      <xdr:rowOff>0</xdr:rowOff>
    </xdr:from>
    <xdr:to>
      <xdr:col>71</xdr:col>
      <xdr:colOff>83820</xdr:colOff>
      <xdr:row>665</xdr:row>
      <xdr:rowOff>114300</xdr:rowOff>
    </xdr:to>
    <xdr:sp macro="" textlink="">
      <xdr:nvSpPr>
        <xdr:cNvPr id="5014" name="Arrow: Down 5013">
          <a:extLst>
            <a:ext uri="{FF2B5EF4-FFF2-40B4-BE49-F238E27FC236}">
              <a16:creationId xmlns:a16="http://schemas.microsoft.com/office/drawing/2014/main" id="{DA88FC60-1433-4E1D-883F-5E912DF04610}"/>
            </a:ext>
          </a:extLst>
        </xdr:cNvPr>
        <xdr:cNvSpPr/>
      </xdr:nvSpPr>
      <xdr:spPr>
        <a:xfrm rot="10800000">
          <a:off x="2196084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665</xdr:row>
      <xdr:rowOff>0</xdr:rowOff>
    </xdr:from>
    <xdr:to>
      <xdr:col>5</xdr:col>
      <xdr:colOff>83820</xdr:colOff>
      <xdr:row>665</xdr:row>
      <xdr:rowOff>114300</xdr:rowOff>
    </xdr:to>
    <xdr:sp macro="" textlink="">
      <xdr:nvSpPr>
        <xdr:cNvPr id="5018" name="Arrow: Down 5017">
          <a:extLst>
            <a:ext uri="{FF2B5EF4-FFF2-40B4-BE49-F238E27FC236}">
              <a16:creationId xmlns:a16="http://schemas.microsoft.com/office/drawing/2014/main" id="{6700BF5B-AF4B-4512-A643-D1539B2166AA}"/>
            </a:ext>
          </a:extLst>
        </xdr:cNvPr>
        <xdr:cNvSpPr/>
      </xdr:nvSpPr>
      <xdr:spPr>
        <a:xfrm rot="10800000">
          <a:off x="192786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665</xdr:row>
      <xdr:rowOff>0</xdr:rowOff>
    </xdr:from>
    <xdr:to>
      <xdr:col>11</xdr:col>
      <xdr:colOff>83820</xdr:colOff>
      <xdr:row>665</xdr:row>
      <xdr:rowOff>114300</xdr:rowOff>
    </xdr:to>
    <xdr:sp macro="" textlink="">
      <xdr:nvSpPr>
        <xdr:cNvPr id="5020" name="Arrow: Down 5019">
          <a:extLst>
            <a:ext uri="{FF2B5EF4-FFF2-40B4-BE49-F238E27FC236}">
              <a16:creationId xmlns:a16="http://schemas.microsoft.com/office/drawing/2014/main" id="{DBC595A5-07E4-49FC-B0AF-D966687A1309}"/>
            </a:ext>
          </a:extLst>
        </xdr:cNvPr>
        <xdr:cNvSpPr/>
      </xdr:nvSpPr>
      <xdr:spPr>
        <a:xfrm rot="10800000">
          <a:off x="36957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665</xdr:row>
      <xdr:rowOff>0</xdr:rowOff>
    </xdr:from>
    <xdr:to>
      <xdr:col>39</xdr:col>
      <xdr:colOff>83820</xdr:colOff>
      <xdr:row>665</xdr:row>
      <xdr:rowOff>114300</xdr:rowOff>
    </xdr:to>
    <xdr:sp macro="" textlink="">
      <xdr:nvSpPr>
        <xdr:cNvPr id="5022" name="Arrow: Down 5021">
          <a:extLst>
            <a:ext uri="{FF2B5EF4-FFF2-40B4-BE49-F238E27FC236}">
              <a16:creationId xmlns:a16="http://schemas.microsoft.com/office/drawing/2014/main" id="{BBC8B75B-EEFF-420A-B92C-F17FDB8B2AE3}"/>
            </a:ext>
          </a:extLst>
        </xdr:cNvPr>
        <xdr:cNvSpPr/>
      </xdr:nvSpPr>
      <xdr:spPr>
        <a:xfrm>
          <a:off x="115443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665</xdr:row>
      <xdr:rowOff>0</xdr:rowOff>
    </xdr:from>
    <xdr:to>
      <xdr:col>60</xdr:col>
      <xdr:colOff>83820</xdr:colOff>
      <xdr:row>665</xdr:row>
      <xdr:rowOff>114300</xdr:rowOff>
    </xdr:to>
    <xdr:sp macro="" textlink="">
      <xdr:nvSpPr>
        <xdr:cNvPr id="5023" name="Arrow: Down 5022">
          <a:extLst>
            <a:ext uri="{FF2B5EF4-FFF2-40B4-BE49-F238E27FC236}">
              <a16:creationId xmlns:a16="http://schemas.microsoft.com/office/drawing/2014/main" id="{413F29B7-961C-4D7E-952C-C06F91D188BA}"/>
            </a:ext>
          </a:extLst>
        </xdr:cNvPr>
        <xdr:cNvSpPr/>
      </xdr:nvSpPr>
      <xdr:spPr>
        <a:xfrm rot="10800000">
          <a:off x="190804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665</xdr:row>
      <xdr:rowOff>0</xdr:rowOff>
    </xdr:from>
    <xdr:to>
      <xdr:col>24</xdr:col>
      <xdr:colOff>83820</xdr:colOff>
      <xdr:row>665</xdr:row>
      <xdr:rowOff>114300</xdr:rowOff>
    </xdr:to>
    <xdr:sp macro="" textlink="">
      <xdr:nvSpPr>
        <xdr:cNvPr id="5025" name="Arrow: Down 5024">
          <a:extLst>
            <a:ext uri="{FF2B5EF4-FFF2-40B4-BE49-F238E27FC236}">
              <a16:creationId xmlns:a16="http://schemas.microsoft.com/office/drawing/2014/main" id="{C19853B5-C70A-4F37-BE3A-35CB738FC082}"/>
            </a:ext>
          </a:extLst>
        </xdr:cNvPr>
        <xdr:cNvSpPr/>
      </xdr:nvSpPr>
      <xdr:spPr>
        <a:xfrm>
          <a:off x="8336280" y="12171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666</xdr:row>
      <xdr:rowOff>0</xdr:rowOff>
    </xdr:from>
    <xdr:to>
      <xdr:col>45</xdr:col>
      <xdr:colOff>83820</xdr:colOff>
      <xdr:row>666</xdr:row>
      <xdr:rowOff>114300</xdr:rowOff>
    </xdr:to>
    <xdr:sp macro="" textlink="">
      <xdr:nvSpPr>
        <xdr:cNvPr id="5033" name="Arrow: Down 5032">
          <a:extLst>
            <a:ext uri="{FF2B5EF4-FFF2-40B4-BE49-F238E27FC236}">
              <a16:creationId xmlns:a16="http://schemas.microsoft.com/office/drawing/2014/main" id="{59BB167F-06A6-4524-8247-4EAA6ED75548}"/>
            </a:ext>
          </a:extLst>
        </xdr:cNvPr>
        <xdr:cNvSpPr/>
      </xdr:nvSpPr>
      <xdr:spPr>
        <a:xfrm>
          <a:off x="1340358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666</xdr:row>
      <xdr:rowOff>0</xdr:rowOff>
    </xdr:from>
    <xdr:to>
      <xdr:col>71</xdr:col>
      <xdr:colOff>83820</xdr:colOff>
      <xdr:row>666</xdr:row>
      <xdr:rowOff>114300</xdr:rowOff>
    </xdr:to>
    <xdr:sp macro="" textlink="">
      <xdr:nvSpPr>
        <xdr:cNvPr id="5034" name="Arrow: Down 5033">
          <a:extLst>
            <a:ext uri="{FF2B5EF4-FFF2-40B4-BE49-F238E27FC236}">
              <a16:creationId xmlns:a16="http://schemas.microsoft.com/office/drawing/2014/main" id="{7CFC1ABF-2904-41AA-8314-F9AFC662DDF7}"/>
            </a:ext>
          </a:extLst>
        </xdr:cNvPr>
        <xdr:cNvSpPr/>
      </xdr:nvSpPr>
      <xdr:spPr>
        <a:xfrm rot="10800000">
          <a:off x="2196084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666</xdr:row>
      <xdr:rowOff>0</xdr:rowOff>
    </xdr:from>
    <xdr:to>
      <xdr:col>5</xdr:col>
      <xdr:colOff>83820</xdr:colOff>
      <xdr:row>666</xdr:row>
      <xdr:rowOff>114300</xdr:rowOff>
    </xdr:to>
    <xdr:sp macro="" textlink="">
      <xdr:nvSpPr>
        <xdr:cNvPr id="5035" name="Arrow: Down 5034">
          <a:extLst>
            <a:ext uri="{FF2B5EF4-FFF2-40B4-BE49-F238E27FC236}">
              <a16:creationId xmlns:a16="http://schemas.microsoft.com/office/drawing/2014/main" id="{10AD2C27-AB62-459E-A5D9-8CC956867F5C}"/>
            </a:ext>
          </a:extLst>
        </xdr:cNvPr>
        <xdr:cNvSpPr/>
      </xdr:nvSpPr>
      <xdr:spPr>
        <a:xfrm rot="10800000">
          <a:off x="192786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666</xdr:row>
      <xdr:rowOff>0</xdr:rowOff>
    </xdr:from>
    <xdr:to>
      <xdr:col>11</xdr:col>
      <xdr:colOff>83820</xdr:colOff>
      <xdr:row>666</xdr:row>
      <xdr:rowOff>114300</xdr:rowOff>
    </xdr:to>
    <xdr:sp macro="" textlink="">
      <xdr:nvSpPr>
        <xdr:cNvPr id="5036" name="Arrow: Down 5035">
          <a:extLst>
            <a:ext uri="{FF2B5EF4-FFF2-40B4-BE49-F238E27FC236}">
              <a16:creationId xmlns:a16="http://schemas.microsoft.com/office/drawing/2014/main" id="{B49303BD-7D0D-40F3-A3C3-657CC2A64047}"/>
            </a:ext>
          </a:extLst>
        </xdr:cNvPr>
        <xdr:cNvSpPr/>
      </xdr:nvSpPr>
      <xdr:spPr>
        <a:xfrm rot="10800000">
          <a:off x="369570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666</xdr:row>
      <xdr:rowOff>0</xdr:rowOff>
    </xdr:from>
    <xdr:to>
      <xdr:col>39</xdr:col>
      <xdr:colOff>83820</xdr:colOff>
      <xdr:row>666</xdr:row>
      <xdr:rowOff>114300</xdr:rowOff>
    </xdr:to>
    <xdr:sp macro="" textlink="">
      <xdr:nvSpPr>
        <xdr:cNvPr id="5037" name="Arrow: Down 5036">
          <a:extLst>
            <a:ext uri="{FF2B5EF4-FFF2-40B4-BE49-F238E27FC236}">
              <a16:creationId xmlns:a16="http://schemas.microsoft.com/office/drawing/2014/main" id="{FF7BD7F3-7A8E-4426-9632-65131E953C00}"/>
            </a:ext>
          </a:extLst>
        </xdr:cNvPr>
        <xdr:cNvSpPr/>
      </xdr:nvSpPr>
      <xdr:spPr>
        <a:xfrm>
          <a:off x="1154430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666</xdr:row>
      <xdr:rowOff>0</xdr:rowOff>
    </xdr:from>
    <xdr:to>
      <xdr:col>60</xdr:col>
      <xdr:colOff>83820</xdr:colOff>
      <xdr:row>666</xdr:row>
      <xdr:rowOff>114300</xdr:rowOff>
    </xdr:to>
    <xdr:sp macro="" textlink="">
      <xdr:nvSpPr>
        <xdr:cNvPr id="5038" name="Arrow: Down 5037">
          <a:extLst>
            <a:ext uri="{FF2B5EF4-FFF2-40B4-BE49-F238E27FC236}">
              <a16:creationId xmlns:a16="http://schemas.microsoft.com/office/drawing/2014/main" id="{0056BFC2-608B-4E26-8F01-061B0250C090}"/>
            </a:ext>
          </a:extLst>
        </xdr:cNvPr>
        <xdr:cNvSpPr/>
      </xdr:nvSpPr>
      <xdr:spPr>
        <a:xfrm rot="10800000">
          <a:off x="1908048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666</xdr:row>
      <xdr:rowOff>0</xdr:rowOff>
    </xdr:from>
    <xdr:to>
      <xdr:col>24</xdr:col>
      <xdr:colOff>83820</xdr:colOff>
      <xdr:row>666</xdr:row>
      <xdr:rowOff>114300</xdr:rowOff>
    </xdr:to>
    <xdr:sp macro="" textlink="">
      <xdr:nvSpPr>
        <xdr:cNvPr id="5041" name="Arrow: Down 5040">
          <a:extLst>
            <a:ext uri="{FF2B5EF4-FFF2-40B4-BE49-F238E27FC236}">
              <a16:creationId xmlns:a16="http://schemas.microsoft.com/office/drawing/2014/main" id="{57B13784-D32F-46B0-AACD-F35FF675E23E}"/>
            </a:ext>
          </a:extLst>
        </xdr:cNvPr>
        <xdr:cNvSpPr/>
      </xdr:nvSpPr>
      <xdr:spPr>
        <a:xfrm rot="10800000">
          <a:off x="83362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667</xdr:row>
      <xdr:rowOff>0</xdr:rowOff>
    </xdr:from>
    <xdr:to>
      <xdr:col>45</xdr:col>
      <xdr:colOff>83820</xdr:colOff>
      <xdr:row>667</xdr:row>
      <xdr:rowOff>114300</xdr:rowOff>
    </xdr:to>
    <xdr:sp macro="" textlink="">
      <xdr:nvSpPr>
        <xdr:cNvPr id="5049" name="Arrow: Down 5048">
          <a:extLst>
            <a:ext uri="{FF2B5EF4-FFF2-40B4-BE49-F238E27FC236}">
              <a16:creationId xmlns:a16="http://schemas.microsoft.com/office/drawing/2014/main" id="{3E13F1A1-7884-41A7-A701-B228B853ABEB}"/>
            </a:ext>
          </a:extLst>
        </xdr:cNvPr>
        <xdr:cNvSpPr/>
      </xdr:nvSpPr>
      <xdr:spPr>
        <a:xfrm>
          <a:off x="134035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667</xdr:row>
      <xdr:rowOff>0</xdr:rowOff>
    </xdr:from>
    <xdr:to>
      <xdr:col>71</xdr:col>
      <xdr:colOff>83820</xdr:colOff>
      <xdr:row>667</xdr:row>
      <xdr:rowOff>114300</xdr:rowOff>
    </xdr:to>
    <xdr:sp macro="" textlink="">
      <xdr:nvSpPr>
        <xdr:cNvPr id="5050" name="Arrow: Down 5049">
          <a:extLst>
            <a:ext uri="{FF2B5EF4-FFF2-40B4-BE49-F238E27FC236}">
              <a16:creationId xmlns:a16="http://schemas.microsoft.com/office/drawing/2014/main" id="{0F36847E-BD3D-4303-9F42-521EB3F67B2C}"/>
            </a:ext>
          </a:extLst>
        </xdr:cNvPr>
        <xdr:cNvSpPr/>
      </xdr:nvSpPr>
      <xdr:spPr>
        <a:xfrm rot="10800000">
          <a:off x="2196084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667</xdr:row>
      <xdr:rowOff>0</xdr:rowOff>
    </xdr:from>
    <xdr:to>
      <xdr:col>5</xdr:col>
      <xdr:colOff>83820</xdr:colOff>
      <xdr:row>667</xdr:row>
      <xdr:rowOff>114300</xdr:rowOff>
    </xdr:to>
    <xdr:sp macro="" textlink="">
      <xdr:nvSpPr>
        <xdr:cNvPr id="5051" name="Arrow: Down 5050">
          <a:extLst>
            <a:ext uri="{FF2B5EF4-FFF2-40B4-BE49-F238E27FC236}">
              <a16:creationId xmlns:a16="http://schemas.microsoft.com/office/drawing/2014/main" id="{CC7B4451-A6BE-4BD6-87CD-7662293FAEA8}"/>
            </a:ext>
          </a:extLst>
        </xdr:cNvPr>
        <xdr:cNvSpPr/>
      </xdr:nvSpPr>
      <xdr:spPr>
        <a:xfrm rot="10800000">
          <a:off x="192786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667</xdr:row>
      <xdr:rowOff>0</xdr:rowOff>
    </xdr:from>
    <xdr:to>
      <xdr:col>11</xdr:col>
      <xdr:colOff>83820</xdr:colOff>
      <xdr:row>667</xdr:row>
      <xdr:rowOff>114300</xdr:rowOff>
    </xdr:to>
    <xdr:sp macro="" textlink="">
      <xdr:nvSpPr>
        <xdr:cNvPr id="5052" name="Arrow: Down 5051">
          <a:extLst>
            <a:ext uri="{FF2B5EF4-FFF2-40B4-BE49-F238E27FC236}">
              <a16:creationId xmlns:a16="http://schemas.microsoft.com/office/drawing/2014/main" id="{3A75470F-CE4B-49E8-A70C-F1AEFC4BB35B}"/>
            </a:ext>
          </a:extLst>
        </xdr:cNvPr>
        <xdr:cNvSpPr/>
      </xdr:nvSpPr>
      <xdr:spPr>
        <a:xfrm rot="10800000">
          <a:off x="369570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667</xdr:row>
      <xdr:rowOff>0</xdr:rowOff>
    </xdr:from>
    <xdr:to>
      <xdr:col>39</xdr:col>
      <xdr:colOff>83820</xdr:colOff>
      <xdr:row>667</xdr:row>
      <xdr:rowOff>114300</xdr:rowOff>
    </xdr:to>
    <xdr:sp macro="" textlink="">
      <xdr:nvSpPr>
        <xdr:cNvPr id="5053" name="Arrow: Down 5052">
          <a:extLst>
            <a:ext uri="{FF2B5EF4-FFF2-40B4-BE49-F238E27FC236}">
              <a16:creationId xmlns:a16="http://schemas.microsoft.com/office/drawing/2014/main" id="{B78D64AB-5CC4-4CD8-B08A-E80A6B8B1740}"/>
            </a:ext>
          </a:extLst>
        </xdr:cNvPr>
        <xdr:cNvSpPr/>
      </xdr:nvSpPr>
      <xdr:spPr>
        <a:xfrm>
          <a:off x="1154430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667</xdr:row>
      <xdr:rowOff>0</xdr:rowOff>
    </xdr:from>
    <xdr:to>
      <xdr:col>60</xdr:col>
      <xdr:colOff>83820</xdr:colOff>
      <xdr:row>667</xdr:row>
      <xdr:rowOff>114300</xdr:rowOff>
    </xdr:to>
    <xdr:sp macro="" textlink="">
      <xdr:nvSpPr>
        <xdr:cNvPr id="5054" name="Arrow: Down 5053">
          <a:extLst>
            <a:ext uri="{FF2B5EF4-FFF2-40B4-BE49-F238E27FC236}">
              <a16:creationId xmlns:a16="http://schemas.microsoft.com/office/drawing/2014/main" id="{8F43A860-EF25-4729-B79E-50A0408A7E07}"/>
            </a:ext>
          </a:extLst>
        </xdr:cNvPr>
        <xdr:cNvSpPr/>
      </xdr:nvSpPr>
      <xdr:spPr>
        <a:xfrm rot="10800000">
          <a:off x="190804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667</xdr:row>
      <xdr:rowOff>0</xdr:rowOff>
    </xdr:from>
    <xdr:to>
      <xdr:col>24</xdr:col>
      <xdr:colOff>83820</xdr:colOff>
      <xdr:row>667</xdr:row>
      <xdr:rowOff>114300</xdr:rowOff>
    </xdr:to>
    <xdr:sp macro="" textlink="">
      <xdr:nvSpPr>
        <xdr:cNvPr id="5057" name="Arrow: Down 5056">
          <a:extLst>
            <a:ext uri="{FF2B5EF4-FFF2-40B4-BE49-F238E27FC236}">
              <a16:creationId xmlns:a16="http://schemas.microsoft.com/office/drawing/2014/main" id="{90D45727-7ABC-40CF-A44D-430B2183787C}"/>
            </a:ext>
          </a:extLst>
        </xdr:cNvPr>
        <xdr:cNvSpPr/>
      </xdr:nvSpPr>
      <xdr:spPr>
        <a:xfrm>
          <a:off x="8336280" y="12208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668</xdr:row>
      <xdr:rowOff>0</xdr:rowOff>
    </xdr:from>
    <xdr:to>
      <xdr:col>45</xdr:col>
      <xdr:colOff>83820</xdr:colOff>
      <xdr:row>668</xdr:row>
      <xdr:rowOff>114300</xdr:rowOff>
    </xdr:to>
    <xdr:sp macro="" textlink="">
      <xdr:nvSpPr>
        <xdr:cNvPr id="5065" name="Arrow: Down 5064">
          <a:extLst>
            <a:ext uri="{FF2B5EF4-FFF2-40B4-BE49-F238E27FC236}">
              <a16:creationId xmlns:a16="http://schemas.microsoft.com/office/drawing/2014/main" id="{B556EE88-8B8B-4B6F-AD44-24740D911B9C}"/>
            </a:ext>
          </a:extLst>
        </xdr:cNvPr>
        <xdr:cNvSpPr/>
      </xdr:nvSpPr>
      <xdr:spPr>
        <a:xfrm>
          <a:off x="1340358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668</xdr:row>
      <xdr:rowOff>0</xdr:rowOff>
    </xdr:from>
    <xdr:to>
      <xdr:col>71</xdr:col>
      <xdr:colOff>83820</xdr:colOff>
      <xdr:row>668</xdr:row>
      <xdr:rowOff>114300</xdr:rowOff>
    </xdr:to>
    <xdr:sp macro="" textlink="">
      <xdr:nvSpPr>
        <xdr:cNvPr id="5066" name="Arrow: Down 5065">
          <a:extLst>
            <a:ext uri="{FF2B5EF4-FFF2-40B4-BE49-F238E27FC236}">
              <a16:creationId xmlns:a16="http://schemas.microsoft.com/office/drawing/2014/main" id="{FC642C41-0D01-46B0-81D5-C60B73396485}"/>
            </a:ext>
          </a:extLst>
        </xdr:cNvPr>
        <xdr:cNvSpPr/>
      </xdr:nvSpPr>
      <xdr:spPr>
        <a:xfrm rot="10800000">
          <a:off x="2196084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668</xdr:row>
      <xdr:rowOff>0</xdr:rowOff>
    </xdr:from>
    <xdr:to>
      <xdr:col>39</xdr:col>
      <xdr:colOff>83820</xdr:colOff>
      <xdr:row>668</xdr:row>
      <xdr:rowOff>114300</xdr:rowOff>
    </xdr:to>
    <xdr:sp macro="" textlink="">
      <xdr:nvSpPr>
        <xdr:cNvPr id="5069" name="Arrow: Down 5068">
          <a:extLst>
            <a:ext uri="{FF2B5EF4-FFF2-40B4-BE49-F238E27FC236}">
              <a16:creationId xmlns:a16="http://schemas.microsoft.com/office/drawing/2014/main" id="{F5695CD4-2E8E-454D-8D2C-42BB88D21857}"/>
            </a:ext>
          </a:extLst>
        </xdr:cNvPr>
        <xdr:cNvSpPr/>
      </xdr:nvSpPr>
      <xdr:spPr>
        <a:xfrm>
          <a:off x="1154430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668</xdr:row>
      <xdr:rowOff>0</xdr:rowOff>
    </xdr:from>
    <xdr:to>
      <xdr:col>60</xdr:col>
      <xdr:colOff>83820</xdr:colOff>
      <xdr:row>668</xdr:row>
      <xdr:rowOff>114300</xdr:rowOff>
    </xdr:to>
    <xdr:sp macro="" textlink="">
      <xdr:nvSpPr>
        <xdr:cNvPr id="5070" name="Arrow: Down 5069">
          <a:extLst>
            <a:ext uri="{FF2B5EF4-FFF2-40B4-BE49-F238E27FC236}">
              <a16:creationId xmlns:a16="http://schemas.microsoft.com/office/drawing/2014/main" id="{C34D9DBD-DB1E-4EBB-A127-CEA5255A953F}"/>
            </a:ext>
          </a:extLst>
        </xdr:cNvPr>
        <xdr:cNvSpPr/>
      </xdr:nvSpPr>
      <xdr:spPr>
        <a:xfrm rot="10800000">
          <a:off x="1908048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668</xdr:row>
      <xdr:rowOff>0</xdr:rowOff>
    </xdr:from>
    <xdr:to>
      <xdr:col>24</xdr:col>
      <xdr:colOff>83820</xdr:colOff>
      <xdr:row>668</xdr:row>
      <xdr:rowOff>114300</xdr:rowOff>
    </xdr:to>
    <xdr:sp macro="" textlink="">
      <xdr:nvSpPr>
        <xdr:cNvPr id="5071" name="Arrow: Down 5070">
          <a:extLst>
            <a:ext uri="{FF2B5EF4-FFF2-40B4-BE49-F238E27FC236}">
              <a16:creationId xmlns:a16="http://schemas.microsoft.com/office/drawing/2014/main" id="{934364E0-EA93-4D24-A128-DFEFFC40311D}"/>
            </a:ext>
          </a:extLst>
        </xdr:cNvPr>
        <xdr:cNvSpPr/>
      </xdr:nvSpPr>
      <xdr:spPr>
        <a:xfrm>
          <a:off x="8336280" y="12208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668</xdr:row>
      <xdr:rowOff>0</xdr:rowOff>
    </xdr:from>
    <xdr:to>
      <xdr:col>11</xdr:col>
      <xdr:colOff>83820</xdr:colOff>
      <xdr:row>668</xdr:row>
      <xdr:rowOff>114300</xdr:rowOff>
    </xdr:to>
    <xdr:sp macro="" textlink="">
      <xdr:nvSpPr>
        <xdr:cNvPr id="5073" name="Arrow: Down 5072">
          <a:extLst>
            <a:ext uri="{FF2B5EF4-FFF2-40B4-BE49-F238E27FC236}">
              <a16:creationId xmlns:a16="http://schemas.microsoft.com/office/drawing/2014/main" id="{989A6474-3CEB-4DA0-997D-04D774883B26}"/>
            </a:ext>
          </a:extLst>
        </xdr:cNvPr>
        <xdr:cNvSpPr/>
      </xdr:nvSpPr>
      <xdr:spPr>
        <a:xfrm>
          <a:off x="369570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669</xdr:row>
      <xdr:rowOff>0</xdr:rowOff>
    </xdr:from>
    <xdr:to>
      <xdr:col>45</xdr:col>
      <xdr:colOff>83820</xdr:colOff>
      <xdr:row>669</xdr:row>
      <xdr:rowOff>114300</xdr:rowOff>
    </xdr:to>
    <xdr:sp macro="" textlink="">
      <xdr:nvSpPr>
        <xdr:cNvPr id="5081" name="Arrow: Down 5080">
          <a:extLst>
            <a:ext uri="{FF2B5EF4-FFF2-40B4-BE49-F238E27FC236}">
              <a16:creationId xmlns:a16="http://schemas.microsoft.com/office/drawing/2014/main" id="{2AE4CF06-D881-48B3-A103-C90E5C349434}"/>
            </a:ext>
          </a:extLst>
        </xdr:cNvPr>
        <xdr:cNvSpPr/>
      </xdr:nvSpPr>
      <xdr:spPr>
        <a:xfrm>
          <a:off x="1340358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669</xdr:row>
      <xdr:rowOff>0</xdr:rowOff>
    </xdr:from>
    <xdr:to>
      <xdr:col>71</xdr:col>
      <xdr:colOff>83820</xdr:colOff>
      <xdr:row>669</xdr:row>
      <xdr:rowOff>114300</xdr:rowOff>
    </xdr:to>
    <xdr:sp macro="" textlink="">
      <xdr:nvSpPr>
        <xdr:cNvPr id="5082" name="Arrow: Down 5081">
          <a:extLst>
            <a:ext uri="{FF2B5EF4-FFF2-40B4-BE49-F238E27FC236}">
              <a16:creationId xmlns:a16="http://schemas.microsoft.com/office/drawing/2014/main" id="{A8591335-85A0-44EF-AF7A-76119782133E}"/>
            </a:ext>
          </a:extLst>
        </xdr:cNvPr>
        <xdr:cNvSpPr/>
      </xdr:nvSpPr>
      <xdr:spPr>
        <a:xfrm rot="10800000">
          <a:off x="2196084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669</xdr:row>
      <xdr:rowOff>0</xdr:rowOff>
    </xdr:from>
    <xdr:to>
      <xdr:col>5</xdr:col>
      <xdr:colOff>83820</xdr:colOff>
      <xdr:row>669</xdr:row>
      <xdr:rowOff>114300</xdr:rowOff>
    </xdr:to>
    <xdr:sp macro="" textlink="">
      <xdr:nvSpPr>
        <xdr:cNvPr id="5083" name="Arrow: Down 5082">
          <a:extLst>
            <a:ext uri="{FF2B5EF4-FFF2-40B4-BE49-F238E27FC236}">
              <a16:creationId xmlns:a16="http://schemas.microsoft.com/office/drawing/2014/main" id="{CF3BACC6-0600-452D-9B07-FCE4E7E48B91}"/>
            </a:ext>
          </a:extLst>
        </xdr:cNvPr>
        <xdr:cNvSpPr/>
      </xdr:nvSpPr>
      <xdr:spPr>
        <a:xfrm rot="10800000">
          <a:off x="192786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669</xdr:row>
      <xdr:rowOff>0</xdr:rowOff>
    </xdr:from>
    <xdr:to>
      <xdr:col>39</xdr:col>
      <xdr:colOff>83820</xdr:colOff>
      <xdr:row>669</xdr:row>
      <xdr:rowOff>114300</xdr:rowOff>
    </xdr:to>
    <xdr:sp macro="" textlink="">
      <xdr:nvSpPr>
        <xdr:cNvPr id="5084" name="Arrow: Down 5083">
          <a:extLst>
            <a:ext uri="{FF2B5EF4-FFF2-40B4-BE49-F238E27FC236}">
              <a16:creationId xmlns:a16="http://schemas.microsoft.com/office/drawing/2014/main" id="{13113144-67ED-48E7-BB34-6B79521398CF}"/>
            </a:ext>
          </a:extLst>
        </xdr:cNvPr>
        <xdr:cNvSpPr/>
      </xdr:nvSpPr>
      <xdr:spPr>
        <a:xfrm>
          <a:off x="1154430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669</xdr:row>
      <xdr:rowOff>0</xdr:rowOff>
    </xdr:from>
    <xdr:to>
      <xdr:col>24</xdr:col>
      <xdr:colOff>83820</xdr:colOff>
      <xdr:row>669</xdr:row>
      <xdr:rowOff>114300</xdr:rowOff>
    </xdr:to>
    <xdr:sp macro="" textlink="">
      <xdr:nvSpPr>
        <xdr:cNvPr id="5086" name="Arrow: Down 5085">
          <a:extLst>
            <a:ext uri="{FF2B5EF4-FFF2-40B4-BE49-F238E27FC236}">
              <a16:creationId xmlns:a16="http://schemas.microsoft.com/office/drawing/2014/main" id="{4C15B339-F7DF-48BC-96FE-649C42124894}"/>
            </a:ext>
          </a:extLst>
        </xdr:cNvPr>
        <xdr:cNvSpPr/>
      </xdr:nvSpPr>
      <xdr:spPr>
        <a:xfrm>
          <a:off x="833628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668</xdr:row>
      <xdr:rowOff>0</xdr:rowOff>
    </xdr:from>
    <xdr:to>
      <xdr:col>5</xdr:col>
      <xdr:colOff>83820</xdr:colOff>
      <xdr:row>668</xdr:row>
      <xdr:rowOff>114300</xdr:rowOff>
    </xdr:to>
    <xdr:sp macro="" textlink="">
      <xdr:nvSpPr>
        <xdr:cNvPr id="5089" name="Arrow: Down 5088">
          <a:extLst>
            <a:ext uri="{FF2B5EF4-FFF2-40B4-BE49-F238E27FC236}">
              <a16:creationId xmlns:a16="http://schemas.microsoft.com/office/drawing/2014/main" id="{5C0D75F0-E65D-4083-B9AB-FD569BAB301C}"/>
            </a:ext>
          </a:extLst>
        </xdr:cNvPr>
        <xdr:cNvSpPr/>
      </xdr:nvSpPr>
      <xdr:spPr>
        <a:xfrm>
          <a:off x="192786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669</xdr:row>
      <xdr:rowOff>0</xdr:rowOff>
    </xdr:from>
    <xdr:to>
      <xdr:col>11</xdr:col>
      <xdr:colOff>83820</xdr:colOff>
      <xdr:row>669</xdr:row>
      <xdr:rowOff>114300</xdr:rowOff>
    </xdr:to>
    <xdr:sp macro="" textlink="">
      <xdr:nvSpPr>
        <xdr:cNvPr id="5091" name="Arrow: Down 5090">
          <a:extLst>
            <a:ext uri="{FF2B5EF4-FFF2-40B4-BE49-F238E27FC236}">
              <a16:creationId xmlns:a16="http://schemas.microsoft.com/office/drawing/2014/main" id="{56F8EDB3-F1EC-421F-9FF5-D6411C139B7E}"/>
            </a:ext>
          </a:extLst>
        </xdr:cNvPr>
        <xdr:cNvSpPr/>
      </xdr:nvSpPr>
      <xdr:spPr>
        <a:xfrm rot="10800000">
          <a:off x="369570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669</xdr:row>
      <xdr:rowOff>0</xdr:rowOff>
    </xdr:from>
    <xdr:to>
      <xdr:col>60</xdr:col>
      <xdr:colOff>83820</xdr:colOff>
      <xdr:row>669</xdr:row>
      <xdr:rowOff>114300</xdr:rowOff>
    </xdr:to>
    <xdr:sp macro="" textlink="">
      <xdr:nvSpPr>
        <xdr:cNvPr id="5093" name="Arrow: Down 5092">
          <a:extLst>
            <a:ext uri="{FF2B5EF4-FFF2-40B4-BE49-F238E27FC236}">
              <a16:creationId xmlns:a16="http://schemas.microsoft.com/office/drawing/2014/main" id="{10426875-4532-49D4-8D6D-A3396AA201B2}"/>
            </a:ext>
          </a:extLst>
        </xdr:cNvPr>
        <xdr:cNvSpPr/>
      </xdr:nvSpPr>
      <xdr:spPr>
        <a:xfrm>
          <a:off x="19080480" y="12244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670</xdr:row>
      <xdr:rowOff>0</xdr:rowOff>
    </xdr:from>
    <xdr:to>
      <xdr:col>45</xdr:col>
      <xdr:colOff>83820</xdr:colOff>
      <xdr:row>670</xdr:row>
      <xdr:rowOff>114300</xdr:rowOff>
    </xdr:to>
    <xdr:sp macro="" textlink="">
      <xdr:nvSpPr>
        <xdr:cNvPr id="5101" name="Arrow: Down 5100">
          <a:extLst>
            <a:ext uri="{FF2B5EF4-FFF2-40B4-BE49-F238E27FC236}">
              <a16:creationId xmlns:a16="http://schemas.microsoft.com/office/drawing/2014/main" id="{57C1632C-26DB-4C98-8982-2C7B23B94070}"/>
            </a:ext>
          </a:extLst>
        </xdr:cNvPr>
        <xdr:cNvSpPr/>
      </xdr:nvSpPr>
      <xdr:spPr>
        <a:xfrm>
          <a:off x="1340358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670</xdr:row>
      <xdr:rowOff>0</xdr:rowOff>
    </xdr:from>
    <xdr:to>
      <xdr:col>71</xdr:col>
      <xdr:colOff>83820</xdr:colOff>
      <xdr:row>670</xdr:row>
      <xdr:rowOff>114300</xdr:rowOff>
    </xdr:to>
    <xdr:sp macro="" textlink="">
      <xdr:nvSpPr>
        <xdr:cNvPr id="5102" name="Arrow: Down 5101">
          <a:extLst>
            <a:ext uri="{FF2B5EF4-FFF2-40B4-BE49-F238E27FC236}">
              <a16:creationId xmlns:a16="http://schemas.microsoft.com/office/drawing/2014/main" id="{30F6F41D-7185-45A6-A157-256E8ACAE90B}"/>
            </a:ext>
          </a:extLst>
        </xdr:cNvPr>
        <xdr:cNvSpPr/>
      </xdr:nvSpPr>
      <xdr:spPr>
        <a:xfrm rot="10800000">
          <a:off x="2196084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670</xdr:row>
      <xdr:rowOff>0</xdr:rowOff>
    </xdr:from>
    <xdr:to>
      <xdr:col>5</xdr:col>
      <xdr:colOff>83820</xdr:colOff>
      <xdr:row>670</xdr:row>
      <xdr:rowOff>114300</xdr:rowOff>
    </xdr:to>
    <xdr:sp macro="" textlink="">
      <xdr:nvSpPr>
        <xdr:cNvPr id="5103" name="Arrow: Down 5102">
          <a:extLst>
            <a:ext uri="{FF2B5EF4-FFF2-40B4-BE49-F238E27FC236}">
              <a16:creationId xmlns:a16="http://schemas.microsoft.com/office/drawing/2014/main" id="{A428DDAD-495A-4A81-88A7-9E2B03783D1F}"/>
            </a:ext>
          </a:extLst>
        </xdr:cNvPr>
        <xdr:cNvSpPr/>
      </xdr:nvSpPr>
      <xdr:spPr>
        <a:xfrm rot="10800000">
          <a:off x="192786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670</xdr:row>
      <xdr:rowOff>0</xdr:rowOff>
    </xdr:from>
    <xdr:to>
      <xdr:col>11</xdr:col>
      <xdr:colOff>83820</xdr:colOff>
      <xdr:row>670</xdr:row>
      <xdr:rowOff>114300</xdr:rowOff>
    </xdr:to>
    <xdr:sp macro="" textlink="">
      <xdr:nvSpPr>
        <xdr:cNvPr id="5106" name="Arrow: Down 5105">
          <a:extLst>
            <a:ext uri="{FF2B5EF4-FFF2-40B4-BE49-F238E27FC236}">
              <a16:creationId xmlns:a16="http://schemas.microsoft.com/office/drawing/2014/main" id="{FEC3089E-5A4C-4945-8BDF-4BE2BB1203FC}"/>
            </a:ext>
          </a:extLst>
        </xdr:cNvPr>
        <xdr:cNvSpPr/>
      </xdr:nvSpPr>
      <xdr:spPr>
        <a:xfrm rot="10800000">
          <a:off x="369570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670</xdr:row>
      <xdr:rowOff>0</xdr:rowOff>
    </xdr:from>
    <xdr:to>
      <xdr:col>60</xdr:col>
      <xdr:colOff>83820</xdr:colOff>
      <xdr:row>670</xdr:row>
      <xdr:rowOff>114300</xdr:rowOff>
    </xdr:to>
    <xdr:sp macro="" textlink="">
      <xdr:nvSpPr>
        <xdr:cNvPr id="5107" name="Arrow: Down 5106">
          <a:extLst>
            <a:ext uri="{FF2B5EF4-FFF2-40B4-BE49-F238E27FC236}">
              <a16:creationId xmlns:a16="http://schemas.microsoft.com/office/drawing/2014/main" id="{5D8DDABE-BB55-4A31-BE44-9FF159E3477C}"/>
            </a:ext>
          </a:extLst>
        </xdr:cNvPr>
        <xdr:cNvSpPr/>
      </xdr:nvSpPr>
      <xdr:spPr>
        <a:xfrm>
          <a:off x="19080480" y="12244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670</xdr:row>
      <xdr:rowOff>0</xdr:rowOff>
    </xdr:from>
    <xdr:to>
      <xdr:col>24</xdr:col>
      <xdr:colOff>83820</xdr:colOff>
      <xdr:row>670</xdr:row>
      <xdr:rowOff>114300</xdr:rowOff>
    </xdr:to>
    <xdr:sp macro="" textlink="">
      <xdr:nvSpPr>
        <xdr:cNvPr id="5108" name="Arrow: Down 5107">
          <a:extLst>
            <a:ext uri="{FF2B5EF4-FFF2-40B4-BE49-F238E27FC236}">
              <a16:creationId xmlns:a16="http://schemas.microsoft.com/office/drawing/2014/main" id="{BC6943F1-8953-44C8-88EC-17A1984F65C4}"/>
            </a:ext>
          </a:extLst>
        </xdr:cNvPr>
        <xdr:cNvSpPr/>
      </xdr:nvSpPr>
      <xdr:spPr>
        <a:xfrm rot="10800000">
          <a:off x="83362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670</xdr:row>
      <xdr:rowOff>0</xdr:rowOff>
    </xdr:from>
    <xdr:to>
      <xdr:col>39</xdr:col>
      <xdr:colOff>83820</xdr:colOff>
      <xdr:row>670</xdr:row>
      <xdr:rowOff>114300</xdr:rowOff>
    </xdr:to>
    <xdr:sp macro="" textlink="">
      <xdr:nvSpPr>
        <xdr:cNvPr id="5110" name="Arrow: Down 5109">
          <a:extLst>
            <a:ext uri="{FF2B5EF4-FFF2-40B4-BE49-F238E27FC236}">
              <a16:creationId xmlns:a16="http://schemas.microsoft.com/office/drawing/2014/main" id="{8BB2DB35-7920-4809-A8F2-CEA6A15DB84D}"/>
            </a:ext>
          </a:extLst>
        </xdr:cNvPr>
        <xdr:cNvSpPr/>
      </xdr:nvSpPr>
      <xdr:spPr>
        <a:xfrm rot="10800000">
          <a:off x="11544300" y="122628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671</xdr:row>
      <xdr:rowOff>0</xdr:rowOff>
    </xdr:from>
    <xdr:to>
      <xdr:col>45</xdr:col>
      <xdr:colOff>83820</xdr:colOff>
      <xdr:row>671</xdr:row>
      <xdr:rowOff>114300</xdr:rowOff>
    </xdr:to>
    <xdr:sp macro="" textlink="">
      <xdr:nvSpPr>
        <xdr:cNvPr id="5118" name="Arrow: Down 5117">
          <a:extLst>
            <a:ext uri="{FF2B5EF4-FFF2-40B4-BE49-F238E27FC236}">
              <a16:creationId xmlns:a16="http://schemas.microsoft.com/office/drawing/2014/main" id="{2EE2E562-B097-4BC6-8796-801BCF6F2CC3}"/>
            </a:ext>
          </a:extLst>
        </xdr:cNvPr>
        <xdr:cNvSpPr/>
      </xdr:nvSpPr>
      <xdr:spPr>
        <a:xfrm>
          <a:off x="134035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671</xdr:row>
      <xdr:rowOff>0</xdr:rowOff>
    </xdr:from>
    <xdr:to>
      <xdr:col>71</xdr:col>
      <xdr:colOff>83820</xdr:colOff>
      <xdr:row>671</xdr:row>
      <xdr:rowOff>114300</xdr:rowOff>
    </xdr:to>
    <xdr:sp macro="" textlink="">
      <xdr:nvSpPr>
        <xdr:cNvPr id="5119" name="Arrow: Down 5118">
          <a:extLst>
            <a:ext uri="{FF2B5EF4-FFF2-40B4-BE49-F238E27FC236}">
              <a16:creationId xmlns:a16="http://schemas.microsoft.com/office/drawing/2014/main" id="{C18E034E-E845-4D29-8538-DA3A6CD36C27}"/>
            </a:ext>
          </a:extLst>
        </xdr:cNvPr>
        <xdr:cNvSpPr/>
      </xdr:nvSpPr>
      <xdr:spPr>
        <a:xfrm rot="10800000">
          <a:off x="2196084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671</xdr:row>
      <xdr:rowOff>0</xdr:rowOff>
    </xdr:from>
    <xdr:to>
      <xdr:col>24</xdr:col>
      <xdr:colOff>83820</xdr:colOff>
      <xdr:row>671</xdr:row>
      <xdr:rowOff>114300</xdr:rowOff>
    </xdr:to>
    <xdr:sp macro="" textlink="">
      <xdr:nvSpPr>
        <xdr:cNvPr id="5123" name="Arrow: Down 5122">
          <a:extLst>
            <a:ext uri="{FF2B5EF4-FFF2-40B4-BE49-F238E27FC236}">
              <a16:creationId xmlns:a16="http://schemas.microsoft.com/office/drawing/2014/main" id="{FF40FA53-420F-4EF8-9CEB-443FD45166AB}"/>
            </a:ext>
          </a:extLst>
        </xdr:cNvPr>
        <xdr:cNvSpPr/>
      </xdr:nvSpPr>
      <xdr:spPr>
        <a:xfrm rot="10800000">
          <a:off x="83362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671</xdr:row>
      <xdr:rowOff>0</xdr:rowOff>
    </xdr:from>
    <xdr:to>
      <xdr:col>60</xdr:col>
      <xdr:colOff>83820</xdr:colOff>
      <xdr:row>671</xdr:row>
      <xdr:rowOff>114300</xdr:rowOff>
    </xdr:to>
    <xdr:sp macro="" textlink="">
      <xdr:nvSpPr>
        <xdr:cNvPr id="5126" name="Arrow: Down 5125">
          <a:extLst>
            <a:ext uri="{FF2B5EF4-FFF2-40B4-BE49-F238E27FC236}">
              <a16:creationId xmlns:a16="http://schemas.microsoft.com/office/drawing/2014/main" id="{939DE0B2-F056-49A2-B082-1DC8C70B5C47}"/>
            </a:ext>
          </a:extLst>
        </xdr:cNvPr>
        <xdr:cNvSpPr/>
      </xdr:nvSpPr>
      <xdr:spPr>
        <a:xfrm rot="10800000">
          <a:off x="190804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671</xdr:row>
      <xdr:rowOff>0</xdr:rowOff>
    </xdr:from>
    <xdr:to>
      <xdr:col>5</xdr:col>
      <xdr:colOff>83820</xdr:colOff>
      <xdr:row>671</xdr:row>
      <xdr:rowOff>114300</xdr:rowOff>
    </xdr:to>
    <xdr:sp macro="" textlink="">
      <xdr:nvSpPr>
        <xdr:cNvPr id="5128" name="Arrow: Down 5127">
          <a:extLst>
            <a:ext uri="{FF2B5EF4-FFF2-40B4-BE49-F238E27FC236}">
              <a16:creationId xmlns:a16="http://schemas.microsoft.com/office/drawing/2014/main" id="{B5D845A5-AFDE-4EED-85DF-F50F6FFB8F2D}"/>
            </a:ext>
          </a:extLst>
        </xdr:cNvPr>
        <xdr:cNvSpPr/>
      </xdr:nvSpPr>
      <xdr:spPr>
        <a:xfrm>
          <a:off x="1927860" y="12281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671</xdr:row>
      <xdr:rowOff>0</xdr:rowOff>
    </xdr:from>
    <xdr:to>
      <xdr:col>11</xdr:col>
      <xdr:colOff>83820</xdr:colOff>
      <xdr:row>671</xdr:row>
      <xdr:rowOff>114300</xdr:rowOff>
    </xdr:to>
    <xdr:sp macro="" textlink="">
      <xdr:nvSpPr>
        <xdr:cNvPr id="5129" name="Arrow: Down 5128">
          <a:extLst>
            <a:ext uri="{FF2B5EF4-FFF2-40B4-BE49-F238E27FC236}">
              <a16:creationId xmlns:a16="http://schemas.microsoft.com/office/drawing/2014/main" id="{2CB50015-EFE9-4D44-BE8E-801E2CD94B8C}"/>
            </a:ext>
          </a:extLst>
        </xdr:cNvPr>
        <xdr:cNvSpPr/>
      </xdr:nvSpPr>
      <xdr:spPr>
        <a:xfrm>
          <a:off x="3695700" y="12281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671</xdr:row>
      <xdr:rowOff>0</xdr:rowOff>
    </xdr:from>
    <xdr:to>
      <xdr:col>39</xdr:col>
      <xdr:colOff>83820</xdr:colOff>
      <xdr:row>671</xdr:row>
      <xdr:rowOff>114300</xdr:rowOff>
    </xdr:to>
    <xdr:sp macro="" textlink="">
      <xdr:nvSpPr>
        <xdr:cNvPr id="5131" name="Arrow: Down 5130">
          <a:extLst>
            <a:ext uri="{FF2B5EF4-FFF2-40B4-BE49-F238E27FC236}">
              <a16:creationId xmlns:a16="http://schemas.microsoft.com/office/drawing/2014/main" id="{79F989FC-82D6-4F19-89B5-C4EC8D5A2BD9}"/>
            </a:ext>
          </a:extLst>
        </xdr:cNvPr>
        <xdr:cNvSpPr/>
      </xdr:nvSpPr>
      <xdr:spPr>
        <a:xfrm>
          <a:off x="1154430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672</xdr:row>
      <xdr:rowOff>0</xdr:rowOff>
    </xdr:from>
    <xdr:to>
      <xdr:col>45</xdr:col>
      <xdr:colOff>83820</xdr:colOff>
      <xdr:row>672</xdr:row>
      <xdr:rowOff>114300</xdr:rowOff>
    </xdr:to>
    <xdr:sp macro="" textlink="">
      <xdr:nvSpPr>
        <xdr:cNvPr id="5139" name="Arrow: Down 5138">
          <a:extLst>
            <a:ext uri="{FF2B5EF4-FFF2-40B4-BE49-F238E27FC236}">
              <a16:creationId xmlns:a16="http://schemas.microsoft.com/office/drawing/2014/main" id="{1D71123F-E55E-47E3-8DC9-13A040F4B295}"/>
            </a:ext>
          </a:extLst>
        </xdr:cNvPr>
        <xdr:cNvSpPr/>
      </xdr:nvSpPr>
      <xdr:spPr>
        <a:xfrm>
          <a:off x="134035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672</xdr:row>
      <xdr:rowOff>0</xdr:rowOff>
    </xdr:from>
    <xdr:to>
      <xdr:col>71</xdr:col>
      <xdr:colOff>83820</xdr:colOff>
      <xdr:row>672</xdr:row>
      <xdr:rowOff>114300</xdr:rowOff>
    </xdr:to>
    <xdr:sp macro="" textlink="">
      <xdr:nvSpPr>
        <xdr:cNvPr id="5140" name="Arrow: Down 5139">
          <a:extLst>
            <a:ext uri="{FF2B5EF4-FFF2-40B4-BE49-F238E27FC236}">
              <a16:creationId xmlns:a16="http://schemas.microsoft.com/office/drawing/2014/main" id="{80220A5F-20BD-41DA-8FDD-0A63D1B86D68}"/>
            </a:ext>
          </a:extLst>
        </xdr:cNvPr>
        <xdr:cNvSpPr/>
      </xdr:nvSpPr>
      <xdr:spPr>
        <a:xfrm rot="10800000">
          <a:off x="2196084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672</xdr:row>
      <xdr:rowOff>0</xdr:rowOff>
    </xdr:from>
    <xdr:to>
      <xdr:col>24</xdr:col>
      <xdr:colOff>83820</xdr:colOff>
      <xdr:row>672</xdr:row>
      <xdr:rowOff>114300</xdr:rowOff>
    </xdr:to>
    <xdr:sp macro="" textlink="">
      <xdr:nvSpPr>
        <xdr:cNvPr id="5141" name="Arrow: Down 5140">
          <a:extLst>
            <a:ext uri="{FF2B5EF4-FFF2-40B4-BE49-F238E27FC236}">
              <a16:creationId xmlns:a16="http://schemas.microsoft.com/office/drawing/2014/main" id="{FE68C217-99C1-4073-A235-21306FE7DDD3}"/>
            </a:ext>
          </a:extLst>
        </xdr:cNvPr>
        <xdr:cNvSpPr/>
      </xdr:nvSpPr>
      <xdr:spPr>
        <a:xfrm rot="10800000">
          <a:off x="83362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672</xdr:row>
      <xdr:rowOff>0</xdr:rowOff>
    </xdr:from>
    <xdr:to>
      <xdr:col>5</xdr:col>
      <xdr:colOff>83820</xdr:colOff>
      <xdr:row>672</xdr:row>
      <xdr:rowOff>114300</xdr:rowOff>
    </xdr:to>
    <xdr:sp macro="" textlink="">
      <xdr:nvSpPr>
        <xdr:cNvPr id="5147" name="Arrow: Down 5146">
          <a:extLst>
            <a:ext uri="{FF2B5EF4-FFF2-40B4-BE49-F238E27FC236}">
              <a16:creationId xmlns:a16="http://schemas.microsoft.com/office/drawing/2014/main" id="{4BAF504C-DDE1-4C81-9353-66A233A980A4}"/>
            </a:ext>
          </a:extLst>
        </xdr:cNvPr>
        <xdr:cNvSpPr/>
      </xdr:nvSpPr>
      <xdr:spPr>
        <a:xfrm rot="10800000">
          <a:off x="192786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672</xdr:row>
      <xdr:rowOff>0</xdr:rowOff>
    </xdr:from>
    <xdr:to>
      <xdr:col>11</xdr:col>
      <xdr:colOff>83820</xdr:colOff>
      <xdr:row>672</xdr:row>
      <xdr:rowOff>114300</xdr:rowOff>
    </xdr:to>
    <xdr:sp macro="" textlink="">
      <xdr:nvSpPr>
        <xdr:cNvPr id="5149" name="Arrow: Down 5148">
          <a:extLst>
            <a:ext uri="{FF2B5EF4-FFF2-40B4-BE49-F238E27FC236}">
              <a16:creationId xmlns:a16="http://schemas.microsoft.com/office/drawing/2014/main" id="{57E06347-C612-4337-8886-37B1671267CE}"/>
            </a:ext>
          </a:extLst>
        </xdr:cNvPr>
        <xdr:cNvSpPr/>
      </xdr:nvSpPr>
      <xdr:spPr>
        <a:xfrm rot="10800000">
          <a:off x="369570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672</xdr:row>
      <xdr:rowOff>0</xdr:rowOff>
    </xdr:from>
    <xdr:to>
      <xdr:col>39</xdr:col>
      <xdr:colOff>83820</xdr:colOff>
      <xdr:row>672</xdr:row>
      <xdr:rowOff>114300</xdr:rowOff>
    </xdr:to>
    <xdr:sp macro="" textlink="">
      <xdr:nvSpPr>
        <xdr:cNvPr id="5151" name="Arrow: Down 5150">
          <a:extLst>
            <a:ext uri="{FF2B5EF4-FFF2-40B4-BE49-F238E27FC236}">
              <a16:creationId xmlns:a16="http://schemas.microsoft.com/office/drawing/2014/main" id="{872C094D-0019-4036-AB9F-30FC8B0026BE}"/>
            </a:ext>
          </a:extLst>
        </xdr:cNvPr>
        <xdr:cNvSpPr/>
      </xdr:nvSpPr>
      <xdr:spPr>
        <a:xfrm rot="10800000">
          <a:off x="11544300" y="122994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672</xdr:row>
      <xdr:rowOff>0</xdr:rowOff>
    </xdr:from>
    <xdr:to>
      <xdr:col>60</xdr:col>
      <xdr:colOff>83820</xdr:colOff>
      <xdr:row>672</xdr:row>
      <xdr:rowOff>114300</xdr:rowOff>
    </xdr:to>
    <xdr:sp macro="" textlink="">
      <xdr:nvSpPr>
        <xdr:cNvPr id="5153" name="Arrow: Down 5152">
          <a:extLst>
            <a:ext uri="{FF2B5EF4-FFF2-40B4-BE49-F238E27FC236}">
              <a16:creationId xmlns:a16="http://schemas.microsoft.com/office/drawing/2014/main" id="{795DFD18-3D16-484C-BEE6-64EA0D5167E8}"/>
            </a:ext>
          </a:extLst>
        </xdr:cNvPr>
        <xdr:cNvSpPr/>
      </xdr:nvSpPr>
      <xdr:spPr>
        <a:xfrm>
          <a:off x="19080480" y="12299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673</xdr:row>
      <xdr:rowOff>0</xdr:rowOff>
    </xdr:from>
    <xdr:to>
      <xdr:col>45</xdr:col>
      <xdr:colOff>83820</xdr:colOff>
      <xdr:row>673</xdr:row>
      <xdr:rowOff>114300</xdr:rowOff>
    </xdr:to>
    <xdr:sp macro="" textlink="">
      <xdr:nvSpPr>
        <xdr:cNvPr id="5161" name="Arrow: Down 5160">
          <a:extLst>
            <a:ext uri="{FF2B5EF4-FFF2-40B4-BE49-F238E27FC236}">
              <a16:creationId xmlns:a16="http://schemas.microsoft.com/office/drawing/2014/main" id="{4BDA3A5B-CE7C-456A-A1BC-D3BE37A63A1C}"/>
            </a:ext>
          </a:extLst>
        </xdr:cNvPr>
        <xdr:cNvSpPr/>
      </xdr:nvSpPr>
      <xdr:spPr>
        <a:xfrm>
          <a:off x="1340358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673</xdr:row>
      <xdr:rowOff>0</xdr:rowOff>
    </xdr:from>
    <xdr:to>
      <xdr:col>71</xdr:col>
      <xdr:colOff>83820</xdr:colOff>
      <xdr:row>673</xdr:row>
      <xdr:rowOff>114300</xdr:rowOff>
    </xdr:to>
    <xdr:sp macro="" textlink="">
      <xdr:nvSpPr>
        <xdr:cNvPr id="5162" name="Arrow: Down 5161">
          <a:extLst>
            <a:ext uri="{FF2B5EF4-FFF2-40B4-BE49-F238E27FC236}">
              <a16:creationId xmlns:a16="http://schemas.microsoft.com/office/drawing/2014/main" id="{DAB87C5E-C753-46CB-B3B4-3CD9C82DC2B7}"/>
            </a:ext>
          </a:extLst>
        </xdr:cNvPr>
        <xdr:cNvSpPr/>
      </xdr:nvSpPr>
      <xdr:spPr>
        <a:xfrm rot="10800000">
          <a:off x="2196084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673</xdr:row>
      <xdr:rowOff>0</xdr:rowOff>
    </xdr:from>
    <xdr:to>
      <xdr:col>5</xdr:col>
      <xdr:colOff>83820</xdr:colOff>
      <xdr:row>673</xdr:row>
      <xdr:rowOff>114300</xdr:rowOff>
    </xdr:to>
    <xdr:sp macro="" textlink="">
      <xdr:nvSpPr>
        <xdr:cNvPr id="5169" name="Arrow: Down 5168">
          <a:extLst>
            <a:ext uri="{FF2B5EF4-FFF2-40B4-BE49-F238E27FC236}">
              <a16:creationId xmlns:a16="http://schemas.microsoft.com/office/drawing/2014/main" id="{5A410A90-AEF3-4ECC-9A03-B91CB3B6C8E3}"/>
            </a:ext>
          </a:extLst>
        </xdr:cNvPr>
        <xdr:cNvSpPr/>
      </xdr:nvSpPr>
      <xdr:spPr>
        <a:xfrm>
          <a:off x="192786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673</xdr:row>
      <xdr:rowOff>0</xdr:rowOff>
    </xdr:from>
    <xdr:to>
      <xdr:col>11</xdr:col>
      <xdr:colOff>83820</xdr:colOff>
      <xdr:row>673</xdr:row>
      <xdr:rowOff>114300</xdr:rowOff>
    </xdr:to>
    <xdr:sp macro="" textlink="">
      <xdr:nvSpPr>
        <xdr:cNvPr id="5171" name="Arrow: Down 5170">
          <a:extLst>
            <a:ext uri="{FF2B5EF4-FFF2-40B4-BE49-F238E27FC236}">
              <a16:creationId xmlns:a16="http://schemas.microsoft.com/office/drawing/2014/main" id="{E11AE006-94F2-4F25-9C73-2679EE754F16}"/>
            </a:ext>
          </a:extLst>
        </xdr:cNvPr>
        <xdr:cNvSpPr/>
      </xdr:nvSpPr>
      <xdr:spPr>
        <a:xfrm>
          <a:off x="369570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673</xdr:row>
      <xdr:rowOff>0</xdr:rowOff>
    </xdr:from>
    <xdr:to>
      <xdr:col>24</xdr:col>
      <xdr:colOff>83820</xdr:colOff>
      <xdr:row>673</xdr:row>
      <xdr:rowOff>114300</xdr:rowOff>
    </xdr:to>
    <xdr:sp macro="" textlink="">
      <xdr:nvSpPr>
        <xdr:cNvPr id="5174" name="Arrow: Down 5173">
          <a:extLst>
            <a:ext uri="{FF2B5EF4-FFF2-40B4-BE49-F238E27FC236}">
              <a16:creationId xmlns:a16="http://schemas.microsoft.com/office/drawing/2014/main" id="{613E529E-1090-4608-8DC1-C85499C4020C}"/>
            </a:ext>
          </a:extLst>
        </xdr:cNvPr>
        <xdr:cNvSpPr/>
      </xdr:nvSpPr>
      <xdr:spPr>
        <a:xfrm>
          <a:off x="833628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673</xdr:row>
      <xdr:rowOff>0</xdr:rowOff>
    </xdr:from>
    <xdr:to>
      <xdr:col>39</xdr:col>
      <xdr:colOff>83820</xdr:colOff>
      <xdr:row>673</xdr:row>
      <xdr:rowOff>114300</xdr:rowOff>
    </xdr:to>
    <xdr:sp macro="" textlink="">
      <xdr:nvSpPr>
        <xdr:cNvPr id="5176" name="Arrow: Down 5175">
          <a:extLst>
            <a:ext uri="{FF2B5EF4-FFF2-40B4-BE49-F238E27FC236}">
              <a16:creationId xmlns:a16="http://schemas.microsoft.com/office/drawing/2014/main" id="{73CC143F-0F17-423A-A508-F6DF0FF526AE}"/>
            </a:ext>
          </a:extLst>
        </xdr:cNvPr>
        <xdr:cNvSpPr/>
      </xdr:nvSpPr>
      <xdr:spPr>
        <a:xfrm>
          <a:off x="1154430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673</xdr:row>
      <xdr:rowOff>0</xdr:rowOff>
    </xdr:from>
    <xdr:to>
      <xdr:col>60</xdr:col>
      <xdr:colOff>83820</xdr:colOff>
      <xdr:row>673</xdr:row>
      <xdr:rowOff>114300</xdr:rowOff>
    </xdr:to>
    <xdr:sp macro="" textlink="">
      <xdr:nvSpPr>
        <xdr:cNvPr id="5179" name="Arrow: Down 5178">
          <a:extLst>
            <a:ext uri="{FF2B5EF4-FFF2-40B4-BE49-F238E27FC236}">
              <a16:creationId xmlns:a16="http://schemas.microsoft.com/office/drawing/2014/main" id="{1ED51661-6B6D-489A-8AD5-10EAC328FD05}"/>
            </a:ext>
          </a:extLst>
        </xdr:cNvPr>
        <xdr:cNvSpPr/>
      </xdr:nvSpPr>
      <xdr:spPr>
        <a:xfrm rot="10800000">
          <a:off x="190804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674</xdr:row>
      <xdr:rowOff>0</xdr:rowOff>
    </xdr:from>
    <xdr:to>
      <xdr:col>45</xdr:col>
      <xdr:colOff>83820</xdr:colOff>
      <xdr:row>674</xdr:row>
      <xdr:rowOff>114300</xdr:rowOff>
    </xdr:to>
    <xdr:sp macro="" textlink="">
      <xdr:nvSpPr>
        <xdr:cNvPr id="5180" name="Arrow: Down 5179">
          <a:extLst>
            <a:ext uri="{FF2B5EF4-FFF2-40B4-BE49-F238E27FC236}">
              <a16:creationId xmlns:a16="http://schemas.microsoft.com/office/drawing/2014/main" id="{DC4E6D95-9EE5-4850-B25E-6D9A520E5C11}"/>
            </a:ext>
          </a:extLst>
        </xdr:cNvPr>
        <xdr:cNvSpPr/>
      </xdr:nvSpPr>
      <xdr:spPr>
        <a:xfrm>
          <a:off x="134035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674</xdr:row>
      <xdr:rowOff>0</xdr:rowOff>
    </xdr:from>
    <xdr:to>
      <xdr:col>71</xdr:col>
      <xdr:colOff>83820</xdr:colOff>
      <xdr:row>674</xdr:row>
      <xdr:rowOff>114300</xdr:rowOff>
    </xdr:to>
    <xdr:sp macro="" textlink="">
      <xdr:nvSpPr>
        <xdr:cNvPr id="5181" name="Arrow: Down 5180">
          <a:extLst>
            <a:ext uri="{FF2B5EF4-FFF2-40B4-BE49-F238E27FC236}">
              <a16:creationId xmlns:a16="http://schemas.microsoft.com/office/drawing/2014/main" id="{F2E15664-6D7A-4A38-BAC1-659490E0517E}"/>
            </a:ext>
          </a:extLst>
        </xdr:cNvPr>
        <xdr:cNvSpPr/>
      </xdr:nvSpPr>
      <xdr:spPr>
        <a:xfrm rot="10800000">
          <a:off x="2196084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674</xdr:row>
      <xdr:rowOff>0</xdr:rowOff>
    </xdr:from>
    <xdr:to>
      <xdr:col>60</xdr:col>
      <xdr:colOff>83820</xdr:colOff>
      <xdr:row>674</xdr:row>
      <xdr:rowOff>114300</xdr:rowOff>
    </xdr:to>
    <xdr:sp macro="" textlink="">
      <xdr:nvSpPr>
        <xdr:cNvPr id="5186" name="Arrow: Down 5185">
          <a:extLst>
            <a:ext uri="{FF2B5EF4-FFF2-40B4-BE49-F238E27FC236}">
              <a16:creationId xmlns:a16="http://schemas.microsoft.com/office/drawing/2014/main" id="{4622B3A2-03B7-4AE0-A598-07DAC8B58FC3}"/>
            </a:ext>
          </a:extLst>
        </xdr:cNvPr>
        <xdr:cNvSpPr/>
      </xdr:nvSpPr>
      <xdr:spPr>
        <a:xfrm rot="10800000">
          <a:off x="190804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674</xdr:row>
      <xdr:rowOff>0</xdr:rowOff>
    </xdr:from>
    <xdr:to>
      <xdr:col>5</xdr:col>
      <xdr:colOff>83820</xdr:colOff>
      <xdr:row>674</xdr:row>
      <xdr:rowOff>114300</xdr:rowOff>
    </xdr:to>
    <xdr:sp macro="" textlink="">
      <xdr:nvSpPr>
        <xdr:cNvPr id="5188" name="Arrow: Down 5187">
          <a:extLst>
            <a:ext uri="{FF2B5EF4-FFF2-40B4-BE49-F238E27FC236}">
              <a16:creationId xmlns:a16="http://schemas.microsoft.com/office/drawing/2014/main" id="{D8263916-8EAF-42B3-83B7-EF6438F8CC17}"/>
            </a:ext>
          </a:extLst>
        </xdr:cNvPr>
        <xdr:cNvSpPr/>
      </xdr:nvSpPr>
      <xdr:spPr>
        <a:xfrm rot="10800000">
          <a:off x="192786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674</xdr:row>
      <xdr:rowOff>0</xdr:rowOff>
    </xdr:from>
    <xdr:to>
      <xdr:col>11</xdr:col>
      <xdr:colOff>83820</xdr:colOff>
      <xdr:row>674</xdr:row>
      <xdr:rowOff>114300</xdr:rowOff>
    </xdr:to>
    <xdr:sp macro="" textlink="">
      <xdr:nvSpPr>
        <xdr:cNvPr id="5191" name="Arrow: Down 5190">
          <a:extLst>
            <a:ext uri="{FF2B5EF4-FFF2-40B4-BE49-F238E27FC236}">
              <a16:creationId xmlns:a16="http://schemas.microsoft.com/office/drawing/2014/main" id="{69446478-6CAB-482A-BB49-68FE736F835A}"/>
            </a:ext>
          </a:extLst>
        </xdr:cNvPr>
        <xdr:cNvSpPr/>
      </xdr:nvSpPr>
      <xdr:spPr>
        <a:xfrm rot="10800000">
          <a:off x="369570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674</xdr:row>
      <xdr:rowOff>0</xdr:rowOff>
    </xdr:from>
    <xdr:to>
      <xdr:col>24</xdr:col>
      <xdr:colOff>83820</xdr:colOff>
      <xdr:row>674</xdr:row>
      <xdr:rowOff>114300</xdr:rowOff>
    </xdr:to>
    <xdr:sp macro="" textlink="">
      <xdr:nvSpPr>
        <xdr:cNvPr id="5193" name="Arrow: Down 5192">
          <a:extLst>
            <a:ext uri="{FF2B5EF4-FFF2-40B4-BE49-F238E27FC236}">
              <a16:creationId xmlns:a16="http://schemas.microsoft.com/office/drawing/2014/main" id="{127A786C-10EA-4BF2-8EB4-301AA663DF20}"/>
            </a:ext>
          </a:extLst>
        </xdr:cNvPr>
        <xdr:cNvSpPr/>
      </xdr:nvSpPr>
      <xdr:spPr>
        <a:xfrm rot="10800000">
          <a:off x="83362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674</xdr:row>
      <xdr:rowOff>0</xdr:rowOff>
    </xdr:from>
    <xdr:to>
      <xdr:col>39</xdr:col>
      <xdr:colOff>83820</xdr:colOff>
      <xdr:row>674</xdr:row>
      <xdr:rowOff>114300</xdr:rowOff>
    </xdr:to>
    <xdr:sp macro="" textlink="">
      <xdr:nvSpPr>
        <xdr:cNvPr id="5195" name="Arrow: Down 5194">
          <a:extLst>
            <a:ext uri="{FF2B5EF4-FFF2-40B4-BE49-F238E27FC236}">
              <a16:creationId xmlns:a16="http://schemas.microsoft.com/office/drawing/2014/main" id="{D39589E4-687D-4DCC-98E1-B292479663E7}"/>
            </a:ext>
          </a:extLst>
        </xdr:cNvPr>
        <xdr:cNvSpPr/>
      </xdr:nvSpPr>
      <xdr:spPr>
        <a:xfrm rot="10800000">
          <a:off x="11544300" y="123360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675</xdr:row>
      <xdr:rowOff>0</xdr:rowOff>
    </xdr:from>
    <xdr:to>
      <xdr:col>45</xdr:col>
      <xdr:colOff>83820</xdr:colOff>
      <xdr:row>675</xdr:row>
      <xdr:rowOff>114300</xdr:rowOff>
    </xdr:to>
    <xdr:sp macro="" textlink="">
      <xdr:nvSpPr>
        <xdr:cNvPr id="5203" name="Arrow: Down 5202">
          <a:extLst>
            <a:ext uri="{FF2B5EF4-FFF2-40B4-BE49-F238E27FC236}">
              <a16:creationId xmlns:a16="http://schemas.microsoft.com/office/drawing/2014/main" id="{EE0BEEF9-F180-45BC-BB6E-3BF5D721CAA3}"/>
            </a:ext>
          </a:extLst>
        </xdr:cNvPr>
        <xdr:cNvSpPr/>
      </xdr:nvSpPr>
      <xdr:spPr>
        <a:xfrm>
          <a:off x="134035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675</xdr:row>
      <xdr:rowOff>0</xdr:rowOff>
    </xdr:from>
    <xdr:to>
      <xdr:col>71</xdr:col>
      <xdr:colOff>83820</xdr:colOff>
      <xdr:row>675</xdr:row>
      <xdr:rowOff>114300</xdr:rowOff>
    </xdr:to>
    <xdr:sp macro="" textlink="">
      <xdr:nvSpPr>
        <xdr:cNvPr id="5204" name="Arrow: Down 5203">
          <a:extLst>
            <a:ext uri="{FF2B5EF4-FFF2-40B4-BE49-F238E27FC236}">
              <a16:creationId xmlns:a16="http://schemas.microsoft.com/office/drawing/2014/main" id="{07749A32-94FE-4988-A095-3ED0E88B8E63}"/>
            </a:ext>
          </a:extLst>
        </xdr:cNvPr>
        <xdr:cNvSpPr/>
      </xdr:nvSpPr>
      <xdr:spPr>
        <a:xfrm rot="10800000">
          <a:off x="2196084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675</xdr:row>
      <xdr:rowOff>0</xdr:rowOff>
    </xdr:from>
    <xdr:to>
      <xdr:col>60</xdr:col>
      <xdr:colOff>83820</xdr:colOff>
      <xdr:row>675</xdr:row>
      <xdr:rowOff>114300</xdr:rowOff>
    </xdr:to>
    <xdr:sp macro="" textlink="">
      <xdr:nvSpPr>
        <xdr:cNvPr id="5205" name="Arrow: Down 5204">
          <a:extLst>
            <a:ext uri="{FF2B5EF4-FFF2-40B4-BE49-F238E27FC236}">
              <a16:creationId xmlns:a16="http://schemas.microsoft.com/office/drawing/2014/main" id="{76A3D5B3-B54E-4EC5-AD9C-12A17B7ABB60}"/>
            </a:ext>
          </a:extLst>
        </xdr:cNvPr>
        <xdr:cNvSpPr/>
      </xdr:nvSpPr>
      <xdr:spPr>
        <a:xfrm rot="10800000">
          <a:off x="190804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675</xdr:row>
      <xdr:rowOff>0</xdr:rowOff>
    </xdr:from>
    <xdr:to>
      <xdr:col>39</xdr:col>
      <xdr:colOff>83820</xdr:colOff>
      <xdr:row>675</xdr:row>
      <xdr:rowOff>114300</xdr:rowOff>
    </xdr:to>
    <xdr:sp macro="" textlink="">
      <xdr:nvSpPr>
        <xdr:cNvPr id="5211" name="Arrow: Down 5210">
          <a:extLst>
            <a:ext uri="{FF2B5EF4-FFF2-40B4-BE49-F238E27FC236}">
              <a16:creationId xmlns:a16="http://schemas.microsoft.com/office/drawing/2014/main" id="{BDB039E3-3461-4D92-B1CD-A0EF89D62BED}"/>
            </a:ext>
          </a:extLst>
        </xdr:cNvPr>
        <xdr:cNvSpPr/>
      </xdr:nvSpPr>
      <xdr:spPr>
        <a:xfrm>
          <a:off x="1154430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675</xdr:row>
      <xdr:rowOff>0</xdr:rowOff>
    </xdr:from>
    <xdr:to>
      <xdr:col>5</xdr:col>
      <xdr:colOff>83820</xdr:colOff>
      <xdr:row>675</xdr:row>
      <xdr:rowOff>114300</xdr:rowOff>
    </xdr:to>
    <xdr:sp macro="" textlink="">
      <xdr:nvSpPr>
        <xdr:cNvPr id="5213" name="Arrow: Down 5212">
          <a:extLst>
            <a:ext uri="{FF2B5EF4-FFF2-40B4-BE49-F238E27FC236}">
              <a16:creationId xmlns:a16="http://schemas.microsoft.com/office/drawing/2014/main" id="{5C621828-E5F0-4470-B024-0D96835AF936}"/>
            </a:ext>
          </a:extLst>
        </xdr:cNvPr>
        <xdr:cNvSpPr/>
      </xdr:nvSpPr>
      <xdr:spPr>
        <a:xfrm>
          <a:off x="192786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675</xdr:row>
      <xdr:rowOff>0</xdr:rowOff>
    </xdr:from>
    <xdr:to>
      <xdr:col>11</xdr:col>
      <xdr:colOff>83820</xdr:colOff>
      <xdr:row>675</xdr:row>
      <xdr:rowOff>114300</xdr:rowOff>
    </xdr:to>
    <xdr:sp macro="" textlink="">
      <xdr:nvSpPr>
        <xdr:cNvPr id="5215" name="Arrow: Down 5214">
          <a:extLst>
            <a:ext uri="{FF2B5EF4-FFF2-40B4-BE49-F238E27FC236}">
              <a16:creationId xmlns:a16="http://schemas.microsoft.com/office/drawing/2014/main" id="{993EBF1C-7B78-46EE-9D3F-3E2F34A6A284}"/>
            </a:ext>
          </a:extLst>
        </xdr:cNvPr>
        <xdr:cNvSpPr/>
      </xdr:nvSpPr>
      <xdr:spPr>
        <a:xfrm>
          <a:off x="369570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675</xdr:row>
      <xdr:rowOff>0</xdr:rowOff>
    </xdr:from>
    <xdr:to>
      <xdr:col>24</xdr:col>
      <xdr:colOff>83820</xdr:colOff>
      <xdr:row>675</xdr:row>
      <xdr:rowOff>114300</xdr:rowOff>
    </xdr:to>
    <xdr:sp macro="" textlink="">
      <xdr:nvSpPr>
        <xdr:cNvPr id="5217" name="Arrow: Down 5216">
          <a:extLst>
            <a:ext uri="{FF2B5EF4-FFF2-40B4-BE49-F238E27FC236}">
              <a16:creationId xmlns:a16="http://schemas.microsoft.com/office/drawing/2014/main" id="{C0E2476E-F26C-412A-8BED-D3381C034E95}"/>
            </a:ext>
          </a:extLst>
        </xdr:cNvPr>
        <xdr:cNvSpPr/>
      </xdr:nvSpPr>
      <xdr:spPr>
        <a:xfrm>
          <a:off x="833628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676</xdr:row>
      <xdr:rowOff>0</xdr:rowOff>
    </xdr:from>
    <xdr:to>
      <xdr:col>45</xdr:col>
      <xdr:colOff>83820</xdr:colOff>
      <xdr:row>676</xdr:row>
      <xdr:rowOff>114300</xdr:rowOff>
    </xdr:to>
    <xdr:sp macro="" textlink="">
      <xdr:nvSpPr>
        <xdr:cNvPr id="5225" name="Arrow: Down 5224">
          <a:extLst>
            <a:ext uri="{FF2B5EF4-FFF2-40B4-BE49-F238E27FC236}">
              <a16:creationId xmlns:a16="http://schemas.microsoft.com/office/drawing/2014/main" id="{A72FBD0A-B871-4AD4-8674-D4F3B8132F99}"/>
            </a:ext>
          </a:extLst>
        </xdr:cNvPr>
        <xdr:cNvSpPr/>
      </xdr:nvSpPr>
      <xdr:spPr>
        <a:xfrm>
          <a:off x="1340358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676</xdr:row>
      <xdr:rowOff>0</xdr:rowOff>
    </xdr:from>
    <xdr:to>
      <xdr:col>71</xdr:col>
      <xdr:colOff>83820</xdr:colOff>
      <xdr:row>676</xdr:row>
      <xdr:rowOff>114300</xdr:rowOff>
    </xdr:to>
    <xdr:sp macro="" textlink="">
      <xdr:nvSpPr>
        <xdr:cNvPr id="5226" name="Arrow: Down 5225">
          <a:extLst>
            <a:ext uri="{FF2B5EF4-FFF2-40B4-BE49-F238E27FC236}">
              <a16:creationId xmlns:a16="http://schemas.microsoft.com/office/drawing/2014/main" id="{E0F6E71A-B6FF-472A-9DC3-E3B7C7C1E3CB}"/>
            </a:ext>
          </a:extLst>
        </xdr:cNvPr>
        <xdr:cNvSpPr/>
      </xdr:nvSpPr>
      <xdr:spPr>
        <a:xfrm rot="10800000">
          <a:off x="2196084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676</xdr:row>
      <xdr:rowOff>0</xdr:rowOff>
    </xdr:from>
    <xdr:to>
      <xdr:col>39</xdr:col>
      <xdr:colOff>83820</xdr:colOff>
      <xdr:row>676</xdr:row>
      <xdr:rowOff>114300</xdr:rowOff>
    </xdr:to>
    <xdr:sp macro="" textlink="">
      <xdr:nvSpPr>
        <xdr:cNvPr id="5228" name="Arrow: Down 5227">
          <a:extLst>
            <a:ext uri="{FF2B5EF4-FFF2-40B4-BE49-F238E27FC236}">
              <a16:creationId xmlns:a16="http://schemas.microsoft.com/office/drawing/2014/main" id="{57903CE6-C91E-48DA-9362-8C6674F5EEE8}"/>
            </a:ext>
          </a:extLst>
        </xdr:cNvPr>
        <xdr:cNvSpPr/>
      </xdr:nvSpPr>
      <xdr:spPr>
        <a:xfrm>
          <a:off x="1154430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676</xdr:row>
      <xdr:rowOff>0</xdr:rowOff>
    </xdr:from>
    <xdr:to>
      <xdr:col>5</xdr:col>
      <xdr:colOff>83820</xdr:colOff>
      <xdr:row>676</xdr:row>
      <xdr:rowOff>114300</xdr:rowOff>
    </xdr:to>
    <xdr:sp macro="" textlink="">
      <xdr:nvSpPr>
        <xdr:cNvPr id="5229" name="Arrow: Down 5228">
          <a:extLst>
            <a:ext uri="{FF2B5EF4-FFF2-40B4-BE49-F238E27FC236}">
              <a16:creationId xmlns:a16="http://schemas.microsoft.com/office/drawing/2014/main" id="{8CA6B1D6-2C92-48AF-BEA6-D615DF4A08F9}"/>
            </a:ext>
          </a:extLst>
        </xdr:cNvPr>
        <xdr:cNvSpPr/>
      </xdr:nvSpPr>
      <xdr:spPr>
        <a:xfrm>
          <a:off x="192786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676</xdr:row>
      <xdr:rowOff>0</xdr:rowOff>
    </xdr:from>
    <xdr:to>
      <xdr:col>11</xdr:col>
      <xdr:colOff>83820</xdr:colOff>
      <xdr:row>676</xdr:row>
      <xdr:rowOff>114300</xdr:rowOff>
    </xdr:to>
    <xdr:sp macro="" textlink="">
      <xdr:nvSpPr>
        <xdr:cNvPr id="5230" name="Arrow: Down 5229">
          <a:extLst>
            <a:ext uri="{FF2B5EF4-FFF2-40B4-BE49-F238E27FC236}">
              <a16:creationId xmlns:a16="http://schemas.microsoft.com/office/drawing/2014/main" id="{C246CD2D-4011-46DD-BC84-B01A6D0E58BD}"/>
            </a:ext>
          </a:extLst>
        </xdr:cNvPr>
        <xdr:cNvSpPr/>
      </xdr:nvSpPr>
      <xdr:spPr>
        <a:xfrm>
          <a:off x="369570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676</xdr:row>
      <xdr:rowOff>0</xdr:rowOff>
    </xdr:from>
    <xdr:to>
      <xdr:col>24</xdr:col>
      <xdr:colOff>83820</xdr:colOff>
      <xdr:row>676</xdr:row>
      <xdr:rowOff>114300</xdr:rowOff>
    </xdr:to>
    <xdr:sp macro="" textlink="">
      <xdr:nvSpPr>
        <xdr:cNvPr id="5231" name="Arrow: Down 5230">
          <a:extLst>
            <a:ext uri="{FF2B5EF4-FFF2-40B4-BE49-F238E27FC236}">
              <a16:creationId xmlns:a16="http://schemas.microsoft.com/office/drawing/2014/main" id="{3A75A97F-EDBA-4FB2-A5E7-B09AA033A8E1}"/>
            </a:ext>
          </a:extLst>
        </xdr:cNvPr>
        <xdr:cNvSpPr/>
      </xdr:nvSpPr>
      <xdr:spPr>
        <a:xfrm>
          <a:off x="833628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676</xdr:row>
      <xdr:rowOff>0</xdr:rowOff>
    </xdr:from>
    <xdr:to>
      <xdr:col>60</xdr:col>
      <xdr:colOff>83820</xdr:colOff>
      <xdr:row>676</xdr:row>
      <xdr:rowOff>114300</xdr:rowOff>
    </xdr:to>
    <xdr:sp macro="" textlink="">
      <xdr:nvSpPr>
        <xdr:cNvPr id="5233" name="Arrow: Down 5232">
          <a:extLst>
            <a:ext uri="{FF2B5EF4-FFF2-40B4-BE49-F238E27FC236}">
              <a16:creationId xmlns:a16="http://schemas.microsoft.com/office/drawing/2014/main" id="{FACDD7BA-DB66-406D-9615-1974F0EC3388}"/>
            </a:ext>
          </a:extLst>
        </xdr:cNvPr>
        <xdr:cNvSpPr/>
      </xdr:nvSpPr>
      <xdr:spPr>
        <a:xfrm>
          <a:off x="19080480" y="1237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677</xdr:row>
      <xdr:rowOff>0</xdr:rowOff>
    </xdr:from>
    <xdr:to>
      <xdr:col>45</xdr:col>
      <xdr:colOff>83820</xdr:colOff>
      <xdr:row>677</xdr:row>
      <xdr:rowOff>114300</xdr:rowOff>
    </xdr:to>
    <xdr:sp macro="" textlink="">
      <xdr:nvSpPr>
        <xdr:cNvPr id="4858" name="Arrow: Down 4857">
          <a:extLst>
            <a:ext uri="{FF2B5EF4-FFF2-40B4-BE49-F238E27FC236}">
              <a16:creationId xmlns:a16="http://schemas.microsoft.com/office/drawing/2014/main" id="{54F66859-B879-418A-9F7E-2BE2DC9CBE41}"/>
            </a:ext>
          </a:extLst>
        </xdr:cNvPr>
        <xdr:cNvSpPr/>
      </xdr:nvSpPr>
      <xdr:spPr>
        <a:xfrm>
          <a:off x="13403580" y="1237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677</xdr:row>
      <xdr:rowOff>0</xdr:rowOff>
    </xdr:from>
    <xdr:to>
      <xdr:col>71</xdr:col>
      <xdr:colOff>83820</xdr:colOff>
      <xdr:row>677</xdr:row>
      <xdr:rowOff>114300</xdr:rowOff>
    </xdr:to>
    <xdr:sp macro="" textlink="">
      <xdr:nvSpPr>
        <xdr:cNvPr id="4864" name="Arrow: Down 4863">
          <a:extLst>
            <a:ext uri="{FF2B5EF4-FFF2-40B4-BE49-F238E27FC236}">
              <a16:creationId xmlns:a16="http://schemas.microsoft.com/office/drawing/2014/main" id="{E285180E-FF6F-482E-AB65-C7CDD2920BD6}"/>
            </a:ext>
          </a:extLst>
        </xdr:cNvPr>
        <xdr:cNvSpPr/>
      </xdr:nvSpPr>
      <xdr:spPr>
        <a:xfrm rot="10800000">
          <a:off x="21960840" y="1237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677</xdr:row>
      <xdr:rowOff>0</xdr:rowOff>
    </xdr:from>
    <xdr:to>
      <xdr:col>60</xdr:col>
      <xdr:colOff>83820</xdr:colOff>
      <xdr:row>677</xdr:row>
      <xdr:rowOff>114300</xdr:rowOff>
    </xdr:to>
    <xdr:sp macro="" textlink="">
      <xdr:nvSpPr>
        <xdr:cNvPr id="4889" name="Arrow: Down 4888">
          <a:extLst>
            <a:ext uri="{FF2B5EF4-FFF2-40B4-BE49-F238E27FC236}">
              <a16:creationId xmlns:a16="http://schemas.microsoft.com/office/drawing/2014/main" id="{529481CD-1C37-4926-A8EE-92A03B8BA67D}"/>
            </a:ext>
          </a:extLst>
        </xdr:cNvPr>
        <xdr:cNvSpPr/>
      </xdr:nvSpPr>
      <xdr:spPr>
        <a:xfrm rot="10800000">
          <a:off x="190804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677</xdr:row>
      <xdr:rowOff>0</xdr:rowOff>
    </xdr:from>
    <xdr:to>
      <xdr:col>39</xdr:col>
      <xdr:colOff>83820</xdr:colOff>
      <xdr:row>677</xdr:row>
      <xdr:rowOff>114300</xdr:rowOff>
    </xdr:to>
    <xdr:sp macro="" textlink="">
      <xdr:nvSpPr>
        <xdr:cNvPr id="4893" name="Arrow: Down 4892">
          <a:extLst>
            <a:ext uri="{FF2B5EF4-FFF2-40B4-BE49-F238E27FC236}">
              <a16:creationId xmlns:a16="http://schemas.microsoft.com/office/drawing/2014/main" id="{900F5D58-0959-469D-8238-3592ACE4D59D}"/>
            </a:ext>
          </a:extLst>
        </xdr:cNvPr>
        <xdr:cNvSpPr/>
      </xdr:nvSpPr>
      <xdr:spPr>
        <a:xfrm rot="10800000">
          <a:off x="11544300" y="12390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677</xdr:row>
      <xdr:rowOff>0</xdr:rowOff>
    </xdr:from>
    <xdr:to>
      <xdr:col>24</xdr:col>
      <xdr:colOff>83820</xdr:colOff>
      <xdr:row>677</xdr:row>
      <xdr:rowOff>114300</xdr:rowOff>
    </xdr:to>
    <xdr:sp macro="" textlink="">
      <xdr:nvSpPr>
        <xdr:cNvPr id="4918" name="Arrow: Down 4917">
          <a:extLst>
            <a:ext uri="{FF2B5EF4-FFF2-40B4-BE49-F238E27FC236}">
              <a16:creationId xmlns:a16="http://schemas.microsoft.com/office/drawing/2014/main" id="{1223CDC2-206A-4DFE-B2C7-8E9C2D3BD054}"/>
            </a:ext>
          </a:extLst>
        </xdr:cNvPr>
        <xdr:cNvSpPr/>
      </xdr:nvSpPr>
      <xdr:spPr>
        <a:xfrm rot="10800000">
          <a:off x="83362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677</xdr:row>
      <xdr:rowOff>0</xdr:rowOff>
    </xdr:from>
    <xdr:to>
      <xdr:col>11</xdr:col>
      <xdr:colOff>83820</xdr:colOff>
      <xdr:row>677</xdr:row>
      <xdr:rowOff>114300</xdr:rowOff>
    </xdr:to>
    <xdr:sp macro="" textlink="">
      <xdr:nvSpPr>
        <xdr:cNvPr id="4921" name="Arrow: Down 4920">
          <a:extLst>
            <a:ext uri="{FF2B5EF4-FFF2-40B4-BE49-F238E27FC236}">
              <a16:creationId xmlns:a16="http://schemas.microsoft.com/office/drawing/2014/main" id="{10405D7E-317F-42BA-B203-9432658C280D}"/>
            </a:ext>
          </a:extLst>
        </xdr:cNvPr>
        <xdr:cNvSpPr/>
      </xdr:nvSpPr>
      <xdr:spPr>
        <a:xfrm rot="10800000">
          <a:off x="369570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677</xdr:row>
      <xdr:rowOff>0</xdr:rowOff>
    </xdr:from>
    <xdr:to>
      <xdr:col>5</xdr:col>
      <xdr:colOff>83820</xdr:colOff>
      <xdr:row>677</xdr:row>
      <xdr:rowOff>114300</xdr:rowOff>
    </xdr:to>
    <xdr:sp macro="" textlink="">
      <xdr:nvSpPr>
        <xdr:cNvPr id="4939" name="Arrow: Down 4938">
          <a:extLst>
            <a:ext uri="{FF2B5EF4-FFF2-40B4-BE49-F238E27FC236}">
              <a16:creationId xmlns:a16="http://schemas.microsoft.com/office/drawing/2014/main" id="{7B225373-C4D2-4D81-A194-2341D2B198BE}"/>
            </a:ext>
          </a:extLst>
        </xdr:cNvPr>
        <xdr:cNvSpPr/>
      </xdr:nvSpPr>
      <xdr:spPr>
        <a:xfrm rot="10800000">
          <a:off x="192786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678</xdr:row>
      <xdr:rowOff>0</xdr:rowOff>
    </xdr:from>
    <xdr:to>
      <xdr:col>45</xdr:col>
      <xdr:colOff>83820</xdr:colOff>
      <xdr:row>678</xdr:row>
      <xdr:rowOff>114300</xdr:rowOff>
    </xdr:to>
    <xdr:sp macro="" textlink="">
      <xdr:nvSpPr>
        <xdr:cNvPr id="4963" name="Arrow: Down 4962">
          <a:extLst>
            <a:ext uri="{FF2B5EF4-FFF2-40B4-BE49-F238E27FC236}">
              <a16:creationId xmlns:a16="http://schemas.microsoft.com/office/drawing/2014/main" id="{18E545DA-2315-44CB-BC32-C8F044C91491}"/>
            </a:ext>
          </a:extLst>
        </xdr:cNvPr>
        <xdr:cNvSpPr/>
      </xdr:nvSpPr>
      <xdr:spPr>
        <a:xfrm>
          <a:off x="134035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678</xdr:row>
      <xdr:rowOff>0</xdr:rowOff>
    </xdr:from>
    <xdr:to>
      <xdr:col>71</xdr:col>
      <xdr:colOff>83820</xdr:colOff>
      <xdr:row>678</xdr:row>
      <xdr:rowOff>114300</xdr:rowOff>
    </xdr:to>
    <xdr:sp macro="" textlink="">
      <xdr:nvSpPr>
        <xdr:cNvPr id="4966" name="Arrow: Down 4965">
          <a:extLst>
            <a:ext uri="{FF2B5EF4-FFF2-40B4-BE49-F238E27FC236}">
              <a16:creationId xmlns:a16="http://schemas.microsoft.com/office/drawing/2014/main" id="{33044C2C-60A0-4DA4-999D-635947AF56CD}"/>
            </a:ext>
          </a:extLst>
        </xdr:cNvPr>
        <xdr:cNvSpPr/>
      </xdr:nvSpPr>
      <xdr:spPr>
        <a:xfrm rot="10800000">
          <a:off x="2196084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678</xdr:row>
      <xdr:rowOff>0</xdr:rowOff>
    </xdr:from>
    <xdr:to>
      <xdr:col>60</xdr:col>
      <xdr:colOff>83820</xdr:colOff>
      <xdr:row>678</xdr:row>
      <xdr:rowOff>114300</xdr:rowOff>
    </xdr:to>
    <xdr:sp macro="" textlink="">
      <xdr:nvSpPr>
        <xdr:cNvPr id="4975" name="Arrow: Down 4974">
          <a:extLst>
            <a:ext uri="{FF2B5EF4-FFF2-40B4-BE49-F238E27FC236}">
              <a16:creationId xmlns:a16="http://schemas.microsoft.com/office/drawing/2014/main" id="{FAD3B2B8-8BE6-4720-AA57-FCEC74DB5E84}"/>
            </a:ext>
          </a:extLst>
        </xdr:cNvPr>
        <xdr:cNvSpPr/>
      </xdr:nvSpPr>
      <xdr:spPr>
        <a:xfrm rot="10800000">
          <a:off x="190804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678</xdr:row>
      <xdr:rowOff>0</xdr:rowOff>
    </xdr:from>
    <xdr:to>
      <xdr:col>39</xdr:col>
      <xdr:colOff>83820</xdr:colOff>
      <xdr:row>678</xdr:row>
      <xdr:rowOff>114300</xdr:rowOff>
    </xdr:to>
    <xdr:sp macro="" textlink="">
      <xdr:nvSpPr>
        <xdr:cNvPr id="4977" name="Arrow: Down 4976">
          <a:extLst>
            <a:ext uri="{FF2B5EF4-FFF2-40B4-BE49-F238E27FC236}">
              <a16:creationId xmlns:a16="http://schemas.microsoft.com/office/drawing/2014/main" id="{064314BC-C3B3-4626-A74E-02996CCF70FF}"/>
            </a:ext>
          </a:extLst>
        </xdr:cNvPr>
        <xdr:cNvSpPr/>
      </xdr:nvSpPr>
      <xdr:spPr>
        <a:xfrm rot="10800000">
          <a:off x="11544300" y="12390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678</xdr:row>
      <xdr:rowOff>0</xdr:rowOff>
    </xdr:from>
    <xdr:to>
      <xdr:col>24</xdr:col>
      <xdr:colOff>83820</xdr:colOff>
      <xdr:row>678</xdr:row>
      <xdr:rowOff>114300</xdr:rowOff>
    </xdr:to>
    <xdr:sp macro="" textlink="">
      <xdr:nvSpPr>
        <xdr:cNvPr id="4980" name="Arrow: Down 4979">
          <a:extLst>
            <a:ext uri="{FF2B5EF4-FFF2-40B4-BE49-F238E27FC236}">
              <a16:creationId xmlns:a16="http://schemas.microsoft.com/office/drawing/2014/main" id="{15FB3436-A9F0-4AF0-9637-7DB81611AE59}"/>
            </a:ext>
          </a:extLst>
        </xdr:cNvPr>
        <xdr:cNvSpPr/>
      </xdr:nvSpPr>
      <xdr:spPr>
        <a:xfrm rot="10800000">
          <a:off x="83362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678</xdr:row>
      <xdr:rowOff>0</xdr:rowOff>
    </xdr:from>
    <xdr:to>
      <xdr:col>11</xdr:col>
      <xdr:colOff>83820</xdr:colOff>
      <xdr:row>678</xdr:row>
      <xdr:rowOff>114300</xdr:rowOff>
    </xdr:to>
    <xdr:sp macro="" textlink="">
      <xdr:nvSpPr>
        <xdr:cNvPr id="4991" name="Arrow: Down 4990">
          <a:extLst>
            <a:ext uri="{FF2B5EF4-FFF2-40B4-BE49-F238E27FC236}">
              <a16:creationId xmlns:a16="http://schemas.microsoft.com/office/drawing/2014/main" id="{EF5017A9-557F-4267-B929-C766D6E405A5}"/>
            </a:ext>
          </a:extLst>
        </xdr:cNvPr>
        <xdr:cNvSpPr/>
      </xdr:nvSpPr>
      <xdr:spPr>
        <a:xfrm>
          <a:off x="3695700" y="1240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678</xdr:row>
      <xdr:rowOff>0</xdr:rowOff>
    </xdr:from>
    <xdr:to>
      <xdr:col>5</xdr:col>
      <xdr:colOff>83820</xdr:colOff>
      <xdr:row>678</xdr:row>
      <xdr:rowOff>114300</xdr:rowOff>
    </xdr:to>
    <xdr:sp macro="" textlink="">
      <xdr:nvSpPr>
        <xdr:cNvPr id="4993" name="Arrow: Down 4992">
          <a:extLst>
            <a:ext uri="{FF2B5EF4-FFF2-40B4-BE49-F238E27FC236}">
              <a16:creationId xmlns:a16="http://schemas.microsoft.com/office/drawing/2014/main" id="{FDD1A044-FCB4-4F1E-AE3E-58DF4AE0CA51}"/>
            </a:ext>
          </a:extLst>
        </xdr:cNvPr>
        <xdr:cNvSpPr/>
      </xdr:nvSpPr>
      <xdr:spPr>
        <a:xfrm>
          <a:off x="1927860" y="1240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679</xdr:row>
      <xdr:rowOff>0</xdr:rowOff>
    </xdr:from>
    <xdr:to>
      <xdr:col>45</xdr:col>
      <xdr:colOff>83820</xdr:colOff>
      <xdr:row>679</xdr:row>
      <xdr:rowOff>114300</xdr:rowOff>
    </xdr:to>
    <xdr:sp macro="" textlink="">
      <xdr:nvSpPr>
        <xdr:cNvPr id="5008" name="Arrow: Down 5007">
          <a:extLst>
            <a:ext uri="{FF2B5EF4-FFF2-40B4-BE49-F238E27FC236}">
              <a16:creationId xmlns:a16="http://schemas.microsoft.com/office/drawing/2014/main" id="{2BA6A6BF-F039-4450-9FA8-651A15FE3063}"/>
            </a:ext>
          </a:extLst>
        </xdr:cNvPr>
        <xdr:cNvSpPr/>
      </xdr:nvSpPr>
      <xdr:spPr>
        <a:xfrm>
          <a:off x="134035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679</xdr:row>
      <xdr:rowOff>0</xdr:rowOff>
    </xdr:from>
    <xdr:to>
      <xdr:col>71</xdr:col>
      <xdr:colOff>83820</xdr:colOff>
      <xdr:row>679</xdr:row>
      <xdr:rowOff>114300</xdr:rowOff>
    </xdr:to>
    <xdr:sp macro="" textlink="">
      <xdr:nvSpPr>
        <xdr:cNvPr id="5009" name="Arrow: Down 5008">
          <a:extLst>
            <a:ext uri="{FF2B5EF4-FFF2-40B4-BE49-F238E27FC236}">
              <a16:creationId xmlns:a16="http://schemas.microsoft.com/office/drawing/2014/main" id="{8475E3DC-A744-4AE0-BB4F-9F68781E792A}"/>
            </a:ext>
          </a:extLst>
        </xdr:cNvPr>
        <xdr:cNvSpPr/>
      </xdr:nvSpPr>
      <xdr:spPr>
        <a:xfrm rot="10800000">
          <a:off x="2196084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679</xdr:row>
      <xdr:rowOff>0</xdr:rowOff>
    </xdr:from>
    <xdr:to>
      <xdr:col>60</xdr:col>
      <xdr:colOff>83820</xdr:colOff>
      <xdr:row>679</xdr:row>
      <xdr:rowOff>114300</xdr:rowOff>
    </xdr:to>
    <xdr:sp macro="" textlink="">
      <xdr:nvSpPr>
        <xdr:cNvPr id="5021" name="Arrow: Down 5020">
          <a:extLst>
            <a:ext uri="{FF2B5EF4-FFF2-40B4-BE49-F238E27FC236}">
              <a16:creationId xmlns:a16="http://schemas.microsoft.com/office/drawing/2014/main" id="{34BA4656-ADFC-409F-A8EA-B3FEA068E768}"/>
            </a:ext>
          </a:extLst>
        </xdr:cNvPr>
        <xdr:cNvSpPr/>
      </xdr:nvSpPr>
      <xdr:spPr>
        <a:xfrm rot="10800000">
          <a:off x="190804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679</xdr:row>
      <xdr:rowOff>0</xdr:rowOff>
    </xdr:from>
    <xdr:to>
      <xdr:col>39</xdr:col>
      <xdr:colOff>83820</xdr:colOff>
      <xdr:row>679</xdr:row>
      <xdr:rowOff>114300</xdr:rowOff>
    </xdr:to>
    <xdr:sp macro="" textlink="">
      <xdr:nvSpPr>
        <xdr:cNvPr id="5024" name="Arrow: Down 5023">
          <a:extLst>
            <a:ext uri="{FF2B5EF4-FFF2-40B4-BE49-F238E27FC236}">
              <a16:creationId xmlns:a16="http://schemas.microsoft.com/office/drawing/2014/main" id="{9565E1B4-8A6D-4DB2-81F2-F1F77519A01D}"/>
            </a:ext>
          </a:extLst>
        </xdr:cNvPr>
        <xdr:cNvSpPr/>
      </xdr:nvSpPr>
      <xdr:spPr>
        <a:xfrm rot="10800000">
          <a:off x="11544300" y="124091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679</xdr:row>
      <xdr:rowOff>0</xdr:rowOff>
    </xdr:from>
    <xdr:to>
      <xdr:col>24</xdr:col>
      <xdr:colOff>83820</xdr:colOff>
      <xdr:row>679</xdr:row>
      <xdr:rowOff>114300</xdr:rowOff>
    </xdr:to>
    <xdr:sp macro="" textlink="">
      <xdr:nvSpPr>
        <xdr:cNvPr id="5026" name="Arrow: Down 5025">
          <a:extLst>
            <a:ext uri="{FF2B5EF4-FFF2-40B4-BE49-F238E27FC236}">
              <a16:creationId xmlns:a16="http://schemas.microsoft.com/office/drawing/2014/main" id="{D4C85FE6-F986-4DE9-ABE8-DF36DA0A7618}"/>
            </a:ext>
          </a:extLst>
        </xdr:cNvPr>
        <xdr:cNvSpPr/>
      </xdr:nvSpPr>
      <xdr:spPr>
        <a:xfrm rot="10800000">
          <a:off x="83362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679</xdr:row>
      <xdr:rowOff>0</xdr:rowOff>
    </xdr:from>
    <xdr:to>
      <xdr:col>5</xdr:col>
      <xdr:colOff>83820</xdr:colOff>
      <xdr:row>679</xdr:row>
      <xdr:rowOff>114300</xdr:rowOff>
    </xdr:to>
    <xdr:sp macro="" textlink="">
      <xdr:nvSpPr>
        <xdr:cNvPr id="5030" name="Arrow: Down 5029">
          <a:extLst>
            <a:ext uri="{FF2B5EF4-FFF2-40B4-BE49-F238E27FC236}">
              <a16:creationId xmlns:a16="http://schemas.microsoft.com/office/drawing/2014/main" id="{5BA6F6B2-5F39-439E-AF63-01E346A4A465}"/>
            </a:ext>
          </a:extLst>
        </xdr:cNvPr>
        <xdr:cNvSpPr/>
      </xdr:nvSpPr>
      <xdr:spPr>
        <a:xfrm rot="10800000">
          <a:off x="192786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679</xdr:row>
      <xdr:rowOff>0</xdr:rowOff>
    </xdr:from>
    <xdr:to>
      <xdr:col>11</xdr:col>
      <xdr:colOff>83820</xdr:colOff>
      <xdr:row>679</xdr:row>
      <xdr:rowOff>114300</xdr:rowOff>
    </xdr:to>
    <xdr:sp macro="" textlink="">
      <xdr:nvSpPr>
        <xdr:cNvPr id="5032" name="Arrow: Down 5031">
          <a:extLst>
            <a:ext uri="{FF2B5EF4-FFF2-40B4-BE49-F238E27FC236}">
              <a16:creationId xmlns:a16="http://schemas.microsoft.com/office/drawing/2014/main" id="{F0589379-CD84-4142-BFCD-94290443D16C}"/>
            </a:ext>
          </a:extLst>
        </xdr:cNvPr>
        <xdr:cNvSpPr/>
      </xdr:nvSpPr>
      <xdr:spPr>
        <a:xfrm rot="10800000">
          <a:off x="369570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680</xdr:row>
      <xdr:rowOff>0</xdr:rowOff>
    </xdr:from>
    <xdr:to>
      <xdr:col>45</xdr:col>
      <xdr:colOff>83820</xdr:colOff>
      <xdr:row>680</xdr:row>
      <xdr:rowOff>114300</xdr:rowOff>
    </xdr:to>
    <xdr:sp macro="" textlink="">
      <xdr:nvSpPr>
        <xdr:cNvPr id="5047" name="Arrow: Down 5046">
          <a:extLst>
            <a:ext uri="{FF2B5EF4-FFF2-40B4-BE49-F238E27FC236}">
              <a16:creationId xmlns:a16="http://schemas.microsoft.com/office/drawing/2014/main" id="{8AD6EC6C-E9F0-4E6B-BA1B-9BBBD73DCBE3}"/>
            </a:ext>
          </a:extLst>
        </xdr:cNvPr>
        <xdr:cNvSpPr/>
      </xdr:nvSpPr>
      <xdr:spPr>
        <a:xfrm>
          <a:off x="1340358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680</xdr:row>
      <xdr:rowOff>0</xdr:rowOff>
    </xdr:from>
    <xdr:to>
      <xdr:col>71</xdr:col>
      <xdr:colOff>83820</xdr:colOff>
      <xdr:row>680</xdr:row>
      <xdr:rowOff>114300</xdr:rowOff>
    </xdr:to>
    <xdr:sp macro="" textlink="">
      <xdr:nvSpPr>
        <xdr:cNvPr id="5048" name="Arrow: Down 5047">
          <a:extLst>
            <a:ext uri="{FF2B5EF4-FFF2-40B4-BE49-F238E27FC236}">
              <a16:creationId xmlns:a16="http://schemas.microsoft.com/office/drawing/2014/main" id="{09B3AB18-2E52-45A3-A7EC-565A4F2313A2}"/>
            </a:ext>
          </a:extLst>
        </xdr:cNvPr>
        <xdr:cNvSpPr/>
      </xdr:nvSpPr>
      <xdr:spPr>
        <a:xfrm rot="10800000">
          <a:off x="2196084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680</xdr:row>
      <xdr:rowOff>0</xdr:rowOff>
    </xdr:from>
    <xdr:to>
      <xdr:col>24</xdr:col>
      <xdr:colOff>83820</xdr:colOff>
      <xdr:row>680</xdr:row>
      <xdr:rowOff>114300</xdr:rowOff>
    </xdr:to>
    <xdr:sp macro="" textlink="">
      <xdr:nvSpPr>
        <xdr:cNvPr id="5058" name="Arrow: Down 5057">
          <a:extLst>
            <a:ext uri="{FF2B5EF4-FFF2-40B4-BE49-F238E27FC236}">
              <a16:creationId xmlns:a16="http://schemas.microsoft.com/office/drawing/2014/main" id="{5FD35E3F-13A2-46F0-8276-CC00720BFB07}"/>
            </a:ext>
          </a:extLst>
        </xdr:cNvPr>
        <xdr:cNvSpPr/>
      </xdr:nvSpPr>
      <xdr:spPr>
        <a:xfrm rot="10800000">
          <a:off x="833628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680</xdr:row>
      <xdr:rowOff>0</xdr:rowOff>
    </xdr:from>
    <xdr:to>
      <xdr:col>60</xdr:col>
      <xdr:colOff>83820</xdr:colOff>
      <xdr:row>680</xdr:row>
      <xdr:rowOff>114300</xdr:rowOff>
    </xdr:to>
    <xdr:sp macro="" textlink="">
      <xdr:nvSpPr>
        <xdr:cNvPr id="5062" name="Arrow: Down 5061">
          <a:extLst>
            <a:ext uri="{FF2B5EF4-FFF2-40B4-BE49-F238E27FC236}">
              <a16:creationId xmlns:a16="http://schemas.microsoft.com/office/drawing/2014/main" id="{773B4EB4-7146-487F-8006-A5936BCB92A6}"/>
            </a:ext>
          </a:extLst>
        </xdr:cNvPr>
        <xdr:cNvSpPr/>
      </xdr:nvSpPr>
      <xdr:spPr>
        <a:xfrm>
          <a:off x="1908048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680</xdr:row>
      <xdr:rowOff>0</xdr:rowOff>
    </xdr:from>
    <xdr:to>
      <xdr:col>39</xdr:col>
      <xdr:colOff>83820</xdr:colOff>
      <xdr:row>680</xdr:row>
      <xdr:rowOff>114300</xdr:rowOff>
    </xdr:to>
    <xdr:sp macro="" textlink="">
      <xdr:nvSpPr>
        <xdr:cNvPr id="5063" name="Arrow: Down 5062">
          <a:extLst>
            <a:ext uri="{FF2B5EF4-FFF2-40B4-BE49-F238E27FC236}">
              <a16:creationId xmlns:a16="http://schemas.microsoft.com/office/drawing/2014/main" id="{C618F01F-5911-4EFE-91AE-A341ED43B556}"/>
            </a:ext>
          </a:extLst>
        </xdr:cNvPr>
        <xdr:cNvSpPr/>
      </xdr:nvSpPr>
      <xdr:spPr>
        <a:xfrm>
          <a:off x="1154430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680</xdr:row>
      <xdr:rowOff>0</xdr:rowOff>
    </xdr:from>
    <xdr:to>
      <xdr:col>11</xdr:col>
      <xdr:colOff>83820</xdr:colOff>
      <xdr:row>680</xdr:row>
      <xdr:rowOff>114300</xdr:rowOff>
    </xdr:to>
    <xdr:sp macro="" textlink="">
      <xdr:nvSpPr>
        <xdr:cNvPr id="5064" name="Arrow: Down 5063">
          <a:extLst>
            <a:ext uri="{FF2B5EF4-FFF2-40B4-BE49-F238E27FC236}">
              <a16:creationId xmlns:a16="http://schemas.microsoft.com/office/drawing/2014/main" id="{31337451-83CD-4C8B-A1E0-44383826E8BD}"/>
            </a:ext>
          </a:extLst>
        </xdr:cNvPr>
        <xdr:cNvSpPr/>
      </xdr:nvSpPr>
      <xdr:spPr>
        <a:xfrm>
          <a:off x="369570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680</xdr:row>
      <xdr:rowOff>0</xdr:rowOff>
    </xdr:from>
    <xdr:to>
      <xdr:col>5</xdr:col>
      <xdr:colOff>83820</xdr:colOff>
      <xdr:row>680</xdr:row>
      <xdr:rowOff>114300</xdr:rowOff>
    </xdr:to>
    <xdr:sp macro="" textlink="">
      <xdr:nvSpPr>
        <xdr:cNvPr id="5068" name="Arrow: Down 5067">
          <a:extLst>
            <a:ext uri="{FF2B5EF4-FFF2-40B4-BE49-F238E27FC236}">
              <a16:creationId xmlns:a16="http://schemas.microsoft.com/office/drawing/2014/main" id="{DA7EF778-1F83-4EBE-A9A3-0F4FFEAAA68E}"/>
            </a:ext>
          </a:extLst>
        </xdr:cNvPr>
        <xdr:cNvSpPr/>
      </xdr:nvSpPr>
      <xdr:spPr>
        <a:xfrm>
          <a:off x="192786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681</xdr:row>
      <xdr:rowOff>0</xdr:rowOff>
    </xdr:from>
    <xdr:to>
      <xdr:col>45</xdr:col>
      <xdr:colOff>83820</xdr:colOff>
      <xdr:row>681</xdr:row>
      <xdr:rowOff>114300</xdr:rowOff>
    </xdr:to>
    <xdr:sp macro="" textlink="">
      <xdr:nvSpPr>
        <xdr:cNvPr id="5080" name="Arrow: Down 5079">
          <a:extLst>
            <a:ext uri="{FF2B5EF4-FFF2-40B4-BE49-F238E27FC236}">
              <a16:creationId xmlns:a16="http://schemas.microsoft.com/office/drawing/2014/main" id="{883ABCBB-8159-4E03-B712-AAA089A16BEB}"/>
            </a:ext>
          </a:extLst>
        </xdr:cNvPr>
        <xdr:cNvSpPr/>
      </xdr:nvSpPr>
      <xdr:spPr>
        <a:xfrm>
          <a:off x="1340358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681</xdr:row>
      <xdr:rowOff>0</xdr:rowOff>
    </xdr:from>
    <xdr:to>
      <xdr:col>71</xdr:col>
      <xdr:colOff>83820</xdr:colOff>
      <xdr:row>681</xdr:row>
      <xdr:rowOff>114300</xdr:rowOff>
    </xdr:to>
    <xdr:sp macro="" textlink="">
      <xdr:nvSpPr>
        <xdr:cNvPr id="5085" name="Arrow: Down 5084">
          <a:extLst>
            <a:ext uri="{FF2B5EF4-FFF2-40B4-BE49-F238E27FC236}">
              <a16:creationId xmlns:a16="http://schemas.microsoft.com/office/drawing/2014/main" id="{2046843E-3346-495C-BF63-5A8A960EF6AF}"/>
            </a:ext>
          </a:extLst>
        </xdr:cNvPr>
        <xdr:cNvSpPr/>
      </xdr:nvSpPr>
      <xdr:spPr>
        <a:xfrm rot="10800000">
          <a:off x="2196084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681</xdr:row>
      <xdr:rowOff>0</xdr:rowOff>
    </xdr:from>
    <xdr:to>
      <xdr:col>24</xdr:col>
      <xdr:colOff>83820</xdr:colOff>
      <xdr:row>681</xdr:row>
      <xdr:rowOff>114300</xdr:rowOff>
    </xdr:to>
    <xdr:sp macro="" textlink="">
      <xdr:nvSpPr>
        <xdr:cNvPr id="5087" name="Arrow: Down 5086">
          <a:extLst>
            <a:ext uri="{FF2B5EF4-FFF2-40B4-BE49-F238E27FC236}">
              <a16:creationId xmlns:a16="http://schemas.microsoft.com/office/drawing/2014/main" id="{16CD9686-C907-4E8B-9882-035E598AC172}"/>
            </a:ext>
          </a:extLst>
        </xdr:cNvPr>
        <xdr:cNvSpPr/>
      </xdr:nvSpPr>
      <xdr:spPr>
        <a:xfrm rot="10800000">
          <a:off x="833628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682</xdr:row>
      <xdr:rowOff>0</xdr:rowOff>
    </xdr:from>
    <xdr:to>
      <xdr:col>45</xdr:col>
      <xdr:colOff>83820</xdr:colOff>
      <xdr:row>682</xdr:row>
      <xdr:rowOff>114300</xdr:rowOff>
    </xdr:to>
    <xdr:sp macro="" textlink="">
      <xdr:nvSpPr>
        <xdr:cNvPr id="5095" name="Arrow: Down 5094">
          <a:extLst>
            <a:ext uri="{FF2B5EF4-FFF2-40B4-BE49-F238E27FC236}">
              <a16:creationId xmlns:a16="http://schemas.microsoft.com/office/drawing/2014/main" id="{4AE3D50B-D295-4D68-913A-DA59BDF0CA9D}"/>
            </a:ext>
          </a:extLst>
        </xdr:cNvPr>
        <xdr:cNvSpPr/>
      </xdr:nvSpPr>
      <xdr:spPr>
        <a:xfrm>
          <a:off x="134035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682</xdr:row>
      <xdr:rowOff>0</xdr:rowOff>
    </xdr:from>
    <xdr:to>
      <xdr:col>71</xdr:col>
      <xdr:colOff>83820</xdr:colOff>
      <xdr:row>682</xdr:row>
      <xdr:rowOff>114300</xdr:rowOff>
    </xdr:to>
    <xdr:sp macro="" textlink="">
      <xdr:nvSpPr>
        <xdr:cNvPr id="5096" name="Arrow: Down 5095">
          <a:extLst>
            <a:ext uri="{FF2B5EF4-FFF2-40B4-BE49-F238E27FC236}">
              <a16:creationId xmlns:a16="http://schemas.microsoft.com/office/drawing/2014/main" id="{5E7DBC0F-1577-4AF3-B008-76BCF5FECAC1}"/>
            </a:ext>
          </a:extLst>
        </xdr:cNvPr>
        <xdr:cNvSpPr/>
      </xdr:nvSpPr>
      <xdr:spPr>
        <a:xfrm rot="10800000">
          <a:off x="2196084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682</xdr:row>
      <xdr:rowOff>0</xdr:rowOff>
    </xdr:from>
    <xdr:to>
      <xdr:col>24</xdr:col>
      <xdr:colOff>83820</xdr:colOff>
      <xdr:row>682</xdr:row>
      <xdr:rowOff>114300</xdr:rowOff>
    </xdr:to>
    <xdr:sp macro="" textlink="">
      <xdr:nvSpPr>
        <xdr:cNvPr id="5097" name="Arrow: Down 5096">
          <a:extLst>
            <a:ext uri="{FF2B5EF4-FFF2-40B4-BE49-F238E27FC236}">
              <a16:creationId xmlns:a16="http://schemas.microsoft.com/office/drawing/2014/main" id="{E73F15D1-7A12-45AD-AE9D-8E1A9B8858C9}"/>
            </a:ext>
          </a:extLst>
        </xdr:cNvPr>
        <xdr:cNvSpPr/>
      </xdr:nvSpPr>
      <xdr:spPr>
        <a:xfrm rot="10800000">
          <a:off x="83362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682</xdr:row>
      <xdr:rowOff>0</xdr:rowOff>
    </xdr:from>
    <xdr:to>
      <xdr:col>39</xdr:col>
      <xdr:colOff>83820</xdr:colOff>
      <xdr:row>682</xdr:row>
      <xdr:rowOff>114300</xdr:rowOff>
    </xdr:to>
    <xdr:sp macro="" textlink="">
      <xdr:nvSpPr>
        <xdr:cNvPr id="5099" name="Arrow: Down 5098">
          <a:extLst>
            <a:ext uri="{FF2B5EF4-FFF2-40B4-BE49-F238E27FC236}">
              <a16:creationId xmlns:a16="http://schemas.microsoft.com/office/drawing/2014/main" id="{882B41DE-3173-434D-931D-59AE85C46D23}"/>
            </a:ext>
          </a:extLst>
        </xdr:cNvPr>
        <xdr:cNvSpPr/>
      </xdr:nvSpPr>
      <xdr:spPr>
        <a:xfrm>
          <a:off x="1154430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682</xdr:row>
      <xdr:rowOff>0</xdr:rowOff>
    </xdr:from>
    <xdr:to>
      <xdr:col>11</xdr:col>
      <xdr:colOff>83820</xdr:colOff>
      <xdr:row>682</xdr:row>
      <xdr:rowOff>114300</xdr:rowOff>
    </xdr:to>
    <xdr:sp macro="" textlink="">
      <xdr:nvSpPr>
        <xdr:cNvPr id="5100" name="Arrow: Down 5099">
          <a:extLst>
            <a:ext uri="{FF2B5EF4-FFF2-40B4-BE49-F238E27FC236}">
              <a16:creationId xmlns:a16="http://schemas.microsoft.com/office/drawing/2014/main" id="{42F63244-4CB5-4A6C-B51A-8AE42490B07D}"/>
            </a:ext>
          </a:extLst>
        </xdr:cNvPr>
        <xdr:cNvSpPr/>
      </xdr:nvSpPr>
      <xdr:spPr>
        <a:xfrm>
          <a:off x="3695700" y="1246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682</xdr:row>
      <xdr:rowOff>0</xdr:rowOff>
    </xdr:from>
    <xdr:to>
      <xdr:col>5</xdr:col>
      <xdr:colOff>83820</xdr:colOff>
      <xdr:row>682</xdr:row>
      <xdr:rowOff>114300</xdr:rowOff>
    </xdr:to>
    <xdr:sp macro="" textlink="">
      <xdr:nvSpPr>
        <xdr:cNvPr id="5104" name="Arrow: Down 5103">
          <a:extLst>
            <a:ext uri="{FF2B5EF4-FFF2-40B4-BE49-F238E27FC236}">
              <a16:creationId xmlns:a16="http://schemas.microsoft.com/office/drawing/2014/main" id="{1D71600C-B243-4D47-B914-BB995999F4D6}"/>
            </a:ext>
          </a:extLst>
        </xdr:cNvPr>
        <xdr:cNvSpPr/>
      </xdr:nvSpPr>
      <xdr:spPr>
        <a:xfrm>
          <a:off x="1927860" y="1246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681</xdr:row>
      <xdr:rowOff>0</xdr:rowOff>
    </xdr:from>
    <xdr:to>
      <xdr:col>11</xdr:col>
      <xdr:colOff>83820</xdr:colOff>
      <xdr:row>681</xdr:row>
      <xdr:rowOff>114300</xdr:rowOff>
    </xdr:to>
    <xdr:sp macro="" textlink="">
      <xdr:nvSpPr>
        <xdr:cNvPr id="5109" name="Arrow: Down 5108">
          <a:extLst>
            <a:ext uri="{FF2B5EF4-FFF2-40B4-BE49-F238E27FC236}">
              <a16:creationId xmlns:a16="http://schemas.microsoft.com/office/drawing/2014/main" id="{9D07E721-7943-4C95-9FF8-B2552B601090}"/>
            </a:ext>
          </a:extLst>
        </xdr:cNvPr>
        <xdr:cNvSpPr/>
      </xdr:nvSpPr>
      <xdr:spPr>
        <a:xfrm rot="10800000">
          <a:off x="369570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681</xdr:row>
      <xdr:rowOff>0</xdr:rowOff>
    </xdr:from>
    <xdr:to>
      <xdr:col>5</xdr:col>
      <xdr:colOff>83820</xdr:colOff>
      <xdr:row>681</xdr:row>
      <xdr:rowOff>114300</xdr:rowOff>
    </xdr:to>
    <xdr:sp macro="" textlink="">
      <xdr:nvSpPr>
        <xdr:cNvPr id="5112" name="Arrow: Down 5111">
          <a:extLst>
            <a:ext uri="{FF2B5EF4-FFF2-40B4-BE49-F238E27FC236}">
              <a16:creationId xmlns:a16="http://schemas.microsoft.com/office/drawing/2014/main" id="{376FC46B-288F-40C9-9708-97121B6BC1AC}"/>
            </a:ext>
          </a:extLst>
        </xdr:cNvPr>
        <xdr:cNvSpPr/>
      </xdr:nvSpPr>
      <xdr:spPr>
        <a:xfrm rot="10800000">
          <a:off x="192786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681</xdr:row>
      <xdr:rowOff>0</xdr:rowOff>
    </xdr:from>
    <xdr:to>
      <xdr:col>39</xdr:col>
      <xdr:colOff>83820</xdr:colOff>
      <xdr:row>681</xdr:row>
      <xdr:rowOff>114300</xdr:rowOff>
    </xdr:to>
    <xdr:sp macro="" textlink="">
      <xdr:nvSpPr>
        <xdr:cNvPr id="5113" name="Arrow: Down 5112">
          <a:extLst>
            <a:ext uri="{FF2B5EF4-FFF2-40B4-BE49-F238E27FC236}">
              <a16:creationId xmlns:a16="http://schemas.microsoft.com/office/drawing/2014/main" id="{215C2FA3-6901-410F-A81F-B5C5FB5C57EB}"/>
            </a:ext>
          </a:extLst>
        </xdr:cNvPr>
        <xdr:cNvSpPr/>
      </xdr:nvSpPr>
      <xdr:spPr>
        <a:xfrm rot="10800000">
          <a:off x="11544300" y="124640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683</xdr:row>
      <xdr:rowOff>0</xdr:rowOff>
    </xdr:from>
    <xdr:to>
      <xdr:col>45</xdr:col>
      <xdr:colOff>83820</xdr:colOff>
      <xdr:row>683</xdr:row>
      <xdr:rowOff>114300</xdr:rowOff>
    </xdr:to>
    <xdr:sp macro="" textlink="">
      <xdr:nvSpPr>
        <xdr:cNvPr id="5124" name="Arrow: Down 5123">
          <a:extLst>
            <a:ext uri="{FF2B5EF4-FFF2-40B4-BE49-F238E27FC236}">
              <a16:creationId xmlns:a16="http://schemas.microsoft.com/office/drawing/2014/main" id="{590ECD57-DB2B-4E1B-9563-D6E26567810F}"/>
            </a:ext>
          </a:extLst>
        </xdr:cNvPr>
        <xdr:cNvSpPr/>
      </xdr:nvSpPr>
      <xdr:spPr>
        <a:xfrm>
          <a:off x="1340358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683</xdr:row>
      <xdr:rowOff>0</xdr:rowOff>
    </xdr:from>
    <xdr:to>
      <xdr:col>71</xdr:col>
      <xdr:colOff>83820</xdr:colOff>
      <xdr:row>683</xdr:row>
      <xdr:rowOff>114300</xdr:rowOff>
    </xdr:to>
    <xdr:sp macro="" textlink="">
      <xdr:nvSpPr>
        <xdr:cNvPr id="5125" name="Arrow: Down 5124">
          <a:extLst>
            <a:ext uri="{FF2B5EF4-FFF2-40B4-BE49-F238E27FC236}">
              <a16:creationId xmlns:a16="http://schemas.microsoft.com/office/drawing/2014/main" id="{D18BBB81-A8D3-46D0-BC26-0A25AB8B952C}"/>
            </a:ext>
          </a:extLst>
        </xdr:cNvPr>
        <xdr:cNvSpPr/>
      </xdr:nvSpPr>
      <xdr:spPr>
        <a:xfrm rot="10800000">
          <a:off x="2196084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683</xdr:row>
      <xdr:rowOff>0</xdr:rowOff>
    </xdr:from>
    <xdr:to>
      <xdr:col>39</xdr:col>
      <xdr:colOff>83820</xdr:colOff>
      <xdr:row>683</xdr:row>
      <xdr:rowOff>114300</xdr:rowOff>
    </xdr:to>
    <xdr:sp macro="" textlink="">
      <xdr:nvSpPr>
        <xdr:cNvPr id="5132" name="Arrow: Down 5131">
          <a:extLst>
            <a:ext uri="{FF2B5EF4-FFF2-40B4-BE49-F238E27FC236}">
              <a16:creationId xmlns:a16="http://schemas.microsoft.com/office/drawing/2014/main" id="{9880596D-38A9-4C40-821E-C773F032CD2C}"/>
            </a:ext>
          </a:extLst>
        </xdr:cNvPr>
        <xdr:cNvSpPr/>
      </xdr:nvSpPr>
      <xdr:spPr>
        <a:xfrm>
          <a:off x="1154430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683</xdr:row>
      <xdr:rowOff>0</xdr:rowOff>
    </xdr:from>
    <xdr:to>
      <xdr:col>11</xdr:col>
      <xdr:colOff>83820</xdr:colOff>
      <xdr:row>683</xdr:row>
      <xdr:rowOff>114300</xdr:rowOff>
    </xdr:to>
    <xdr:sp macro="" textlink="">
      <xdr:nvSpPr>
        <xdr:cNvPr id="5133" name="Arrow: Down 5132">
          <a:extLst>
            <a:ext uri="{FF2B5EF4-FFF2-40B4-BE49-F238E27FC236}">
              <a16:creationId xmlns:a16="http://schemas.microsoft.com/office/drawing/2014/main" id="{2BDE93AB-D932-4267-B17E-833008B2C347}"/>
            </a:ext>
          </a:extLst>
        </xdr:cNvPr>
        <xdr:cNvSpPr/>
      </xdr:nvSpPr>
      <xdr:spPr>
        <a:xfrm>
          <a:off x="3695700" y="1248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683</xdr:row>
      <xdr:rowOff>0</xdr:rowOff>
    </xdr:from>
    <xdr:to>
      <xdr:col>5</xdr:col>
      <xdr:colOff>83820</xdr:colOff>
      <xdr:row>683</xdr:row>
      <xdr:rowOff>114300</xdr:rowOff>
    </xdr:to>
    <xdr:sp macro="" textlink="">
      <xdr:nvSpPr>
        <xdr:cNvPr id="5134" name="Arrow: Down 5133">
          <a:extLst>
            <a:ext uri="{FF2B5EF4-FFF2-40B4-BE49-F238E27FC236}">
              <a16:creationId xmlns:a16="http://schemas.microsoft.com/office/drawing/2014/main" id="{A8F80430-0EFE-45A2-8CE0-42A57AE7C119}"/>
            </a:ext>
          </a:extLst>
        </xdr:cNvPr>
        <xdr:cNvSpPr/>
      </xdr:nvSpPr>
      <xdr:spPr>
        <a:xfrm>
          <a:off x="1927860" y="1248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684</xdr:row>
      <xdr:rowOff>0</xdr:rowOff>
    </xdr:from>
    <xdr:to>
      <xdr:col>45</xdr:col>
      <xdr:colOff>83820</xdr:colOff>
      <xdr:row>684</xdr:row>
      <xdr:rowOff>114300</xdr:rowOff>
    </xdr:to>
    <xdr:sp macro="" textlink="">
      <xdr:nvSpPr>
        <xdr:cNvPr id="5148" name="Arrow: Down 5147">
          <a:extLst>
            <a:ext uri="{FF2B5EF4-FFF2-40B4-BE49-F238E27FC236}">
              <a16:creationId xmlns:a16="http://schemas.microsoft.com/office/drawing/2014/main" id="{AF584B81-7F98-467C-9E01-76AA5C9AA248}"/>
            </a:ext>
          </a:extLst>
        </xdr:cNvPr>
        <xdr:cNvSpPr/>
      </xdr:nvSpPr>
      <xdr:spPr>
        <a:xfrm>
          <a:off x="1340358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684</xdr:row>
      <xdr:rowOff>0</xdr:rowOff>
    </xdr:from>
    <xdr:to>
      <xdr:col>71</xdr:col>
      <xdr:colOff>83820</xdr:colOff>
      <xdr:row>684</xdr:row>
      <xdr:rowOff>114300</xdr:rowOff>
    </xdr:to>
    <xdr:sp macro="" textlink="">
      <xdr:nvSpPr>
        <xdr:cNvPr id="5150" name="Arrow: Down 5149">
          <a:extLst>
            <a:ext uri="{FF2B5EF4-FFF2-40B4-BE49-F238E27FC236}">
              <a16:creationId xmlns:a16="http://schemas.microsoft.com/office/drawing/2014/main" id="{96E71B74-80EF-4DF4-A287-B67FD70B0B5D}"/>
            </a:ext>
          </a:extLst>
        </xdr:cNvPr>
        <xdr:cNvSpPr/>
      </xdr:nvSpPr>
      <xdr:spPr>
        <a:xfrm rot="10800000">
          <a:off x="2196084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684</xdr:row>
      <xdr:rowOff>0</xdr:rowOff>
    </xdr:from>
    <xdr:to>
      <xdr:col>24</xdr:col>
      <xdr:colOff>83820</xdr:colOff>
      <xdr:row>684</xdr:row>
      <xdr:rowOff>114300</xdr:rowOff>
    </xdr:to>
    <xdr:sp macro="" textlink="">
      <xdr:nvSpPr>
        <xdr:cNvPr id="5152" name="Arrow: Down 5151">
          <a:extLst>
            <a:ext uri="{FF2B5EF4-FFF2-40B4-BE49-F238E27FC236}">
              <a16:creationId xmlns:a16="http://schemas.microsoft.com/office/drawing/2014/main" id="{0E98409C-CA68-4D3B-BC3B-43D760127066}"/>
            </a:ext>
          </a:extLst>
        </xdr:cNvPr>
        <xdr:cNvSpPr/>
      </xdr:nvSpPr>
      <xdr:spPr>
        <a:xfrm rot="10800000">
          <a:off x="833628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683</xdr:row>
      <xdr:rowOff>0</xdr:rowOff>
    </xdr:from>
    <xdr:to>
      <xdr:col>24</xdr:col>
      <xdr:colOff>83820</xdr:colOff>
      <xdr:row>683</xdr:row>
      <xdr:rowOff>114300</xdr:rowOff>
    </xdr:to>
    <xdr:sp macro="" textlink="">
      <xdr:nvSpPr>
        <xdr:cNvPr id="5159" name="Arrow: Down 5158">
          <a:extLst>
            <a:ext uri="{FF2B5EF4-FFF2-40B4-BE49-F238E27FC236}">
              <a16:creationId xmlns:a16="http://schemas.microsoft.com/office/drawing/2014/main" id="{307CD2A5-8E8D-477E-B081-241C482A47E5}"/>
            </a:ext>
          </a:extLst>
        </xdr:cNvPr>
        <xdr:cNvSpPr/>
      </xdr:nvSpPr>
      <xdr:spPr>
        <a:xfrm>
          <a:off x="8336280" y="1250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684</xdr:row>
      <xdr:rowOff>0</xdr:rowOff>
    </xdr:from>
    <xdr:to>
      <xdr:col>39</xdr:col>
      <xdr:colOff>83820</xdr:colOff>
      <xdr:row>684</xdr:row>
      <xdr:rowOff>114300</xdr:rowOff>
    </xdr:to>
    <xdr:sp macro="" textlink="">
      <xdr:nvSpPr>
        <xdr:cNvPr id="5163" name="Arrow: Down 5162">
          <a:extLst>
            <a:ext uri="{FF2B5EF4-FFF2-40B4-BE49-F238E27FC236}">
              <a16:creationId xmlns:a16="http://schemas.microsoft.com/office/drawing/2014/main" id="{C795F8D7-9A3C-463D-96B2-8D6E4DE1BA64}"/>
            </a:ext>
          </a:extLst>
        </xdr:cNvPr>
        <xdr:cNvSpPr/>
      </xdr:nvSpPr>
      <xdr:spPr>
        <a:xfrm rot="10800000">
          <a:off x="11544300" y="125188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681</xdr:row>
      <xdr:rowOff>0</xdr:rowOff>
    </xdr:from>
    <xdr:to>
      <xdr:col>60</xdr:col>
      <xdr:colOff>83820</xdr:colOff>
      <xdr:row>681</xdr:row>
      <xdr:rowOff>114300</xdr:rowOff>
    </xdr:to>
    <xdr:sp macro="" textlink="">
      <xdr:nvSpPr>
        <xdr:cNvPr id="5164" name="Arrow: Down 5163">
          <a:extLst>
            <a:ext uri="{FF2B5EF4-FFF2-40B4-BE49-F238E27FC236}">
              <a16:creationId xmlns:a16="http://schemas.microsoft.com/office/drawing/2014/main" id="{5378CDB6-372F-4C0C-A8E8-E8341359A9B5}"/>
            </a:ext>
          </a:extLst>
        </xdr:cNvPr>
        <xdr:cNvSpPr/>
      </xdr:nvSpPr>
      <xdr:spPr>
        <a:xfrm rot="10800000">
          <a:off x="190804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682</xdr:row>
      <xdr:rowOff>0</xdr:rowOff>
    </xdr:from>
    <xdr:to>
      <xdr:col>60</xdr:col>
      <xdr:colOff>83820</xdr:colOff>
      <xdr:row>682</xdr:row>
      <xdr:rowOff>114300</xdr:rowOff>
    </xdr:to>
    <xdr:sp macro="" textlink="">
      <xdr:nvSpPr>
        <xdr:cNvPr id="5166" name="Arrow: Down 5165">
          <a:extLst>
            <a:ext uri="{FF2B5EF4-FFF2-40B4-BE49-F238E27FC236}">
              <a16:creationId xmlns:a16="http://schemas.microsoft.com/office/drawing/2014/main" id="{8B1EEED4-15FC-467D-8381-3379ACED4AC9}"/>
            </a:ext>
          </a:extLst>
        </xdr:cNvPr>
        <xdr:cNvSpPr/>
      </xdr:nvSpPr>
      <xdr:spPr>
        <a:xfrm rot="10800000">
          <a:off x="1908048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683</xdr:row>
      <xdr:rowOff>0</xdr:rowOff>
    </xdr:from>
    <xdr:to>
      <xdr:col>60</xdr:col>
      <xdr:colOff>83820</xdr:colOff>
      <xdr:row>683</xdr:row>
      <xdr:rowOff>114300</xdr:rowOff>
    </xdr:to>
    <xdr:sp macro="" textlink="">
      <xdr:nvSpPr>
        <xdr:cNvPr id="5168" name="Arrow: Down 5167">
          <a:extLst>
            <a:ext uri="{FF2B5EF4-FFF2-40B4-BE49-F238E27FC236}">
              <a16:creationId xmlns:a16="http://schemas.microsoft.com/office/drawing/2014/main" id="{1ECB4B78-6814-4E5B-B87E-B3FB9DD4B6C1}"/>
            </a:ext>
          </a:extLst>
        </xdr:cNvPr>
        <xdr:cNvSpPr/>
      </xdr:nvSpPr>
      <xdr:spPr>
        <a:xfrm>
          <a:off x="19080480" y="1250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684</xdr:row>
      <xdr:rowOff>0</xdr:rowOff>
    </xdr:from>
    <xdr:to>
      <xdr:col>60</xdr:col>
      <xdr:colOff>83820</xdr:colOff>
      <xdr:row>684</xdr:row>
      <xdr:rowOff>114300</xdr:rowOff>
    </xdr:to>
    <xdr:sp macro="" textlink="">
      <xdr:nvSpPr>
        <xdr:cNvPr id="5172" name="Arrow: Down 5171">
          <a:extLst>
            <a:ext uri="{FF2B5EF4-FFF2-40B4-BE49-F238E27FC236}">
              <a16:creationId xmlns:a16="http://schemas.microsoft.com/office/drawing/2014/main" id="{F12D1BEB-52FC-444A-8710-29EB1DB1C4BD}"/>
            </a:ext>
          </a:extLst>
        </xdr:cNvPr>
        <xdr:cNvSpPr/>
      </xdr:nvSpPr>
      <xdr:spPr>
        <a:xfrm>
          <a:off x="1908048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685</xdr:row>
      <xdr:rowOff>0</xdr:rowOff>
    </xdr:from>
    <xdr:to>
      <xdr:col>45</xdr:col>
      <xdr:colOff>83820</xdr:colOff>
      <xdr:row>685</xdr:row>
      <xdr:rowOff>114300</xdr:rowOff>
    </xdr:to>
    <xdr:sp macro="" textlink="">
      <xdr:nvSpPr>
        <xdr:cNvPr id="5173" name="Arrow: Down 5172">
          <a:extLst>
            <a:ext uri="{FF2B5EF4-FFF2-40B4-BE49-F238E27FC236}">
              <a16:creationId xmlns:a16="http://schemas.microsoft.com/office/drawing/2014/main" id="{4DA395F0-9529-44EF-A18B-8F562986AB04}"/>
            </a:ext>
          </a:extLst>
        </xdr:cNvPr>
        <xdr:cNvSpPr/>
      </xdr:nvSpPr>
      <xdr:spPr>
        <a:xfrm>
          <a:off x="1340358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685</xdr:row>
      <xdr:rowOff>0</xdr:rowOff>
    </xdr:from>
    <xdr:to>
      <xdr:col>71</xdr:col>
      <xdr:colOff>83820</xdr:colOff>
      <xdr:row>685</xdr:row>
      <xdr:rowOff>114300</xdr:rowOff>
    </xdr:to>
    <xdr:sp macro="" textlink="">
      <xdr:nvSpPr>
        <xdr:cNvPr id="5175" name="Arrow: Down 5174">
          <a:extLst>
            <a:ext uri="{FF2B5EF4-FFF2-40B4-BE49-F238E27FC236}">
              <a16:creationId xmlns:a16="http://schemas.microsoft.com/office/drawing/2014/main" id="{CBE2626B-C1B4-4330-B59C-DB25135DDB1D}"/>
            </a:ext>
          </a:extLst>
        </xdr:cNvPr>
        <xdr:cNvSpPr/>
      </xdr:nvSpPr>
      <xdr:spPr>
        <a:xfrm rot="10800000">
          <a:off x="2196084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685</xdr:row>
      <xdr:rowOff>0</xdr:rowOff>
    </xdr:from>
    <xdr:to>
      <xdr:col>24</xdr:col>
      <xdr:colOff>83820</xdr:colOff>
      <xdr:row>685</xdr:row>
      <xdr:rowOff>114300</xdr:rowOff>
    </xdr:to>
    <xdr:sp macro="" textlink="">
      <xdr:nvSpPr>
        <xdr:cNvPr id="5177" name="Arrow: Down 5176">
          <a:extLst>
            <a:ext uri="{FF2B5EF4-FFF2-40B4-BE49-F238E27FC236}">
              <a16:creationId xmlns:a16="http://schemas.microsoft.com/office/drawing/2014/main" id="{ECDD1B4A-0E93-4C3C-9EC4-C4F249D85974}"/>
            </a:ext>
          </a:extLst>
        </xdr:cNvPr>
        <xdr:cNvSpPr/>
      </xdr:nvSpPr>
      <xdr:spPr>
        <a:xfrm rot="10800000">
          <a:off x="833628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685</xdr:row>
      <xdr:rowOff>0</xdr:rowOff>
    </xdr:from>
    <xdr:to>
      <xdr:col>11</xdr:col>
      <xdr:colOff>83820</xdr:colOff>
      <xdr:row>685</xdr:row>
      <xdr:rowOff>114300</xdr:rowOff>
    </xdr:to>
    <xdr:sp macro="" textlink="">
      <xdr:nvSpPr>
        <xdr:cNvPr id="5178" name="Arrow: Down 5177">
          <a:extLst>
            <a:ext uri="{FF2B5EF4-FFF2-40B4-BE49-F238E27FC236}">
              <a16:creationId xmlns:a16="http://schemas.microsoft.com/office/drawing/2014/main" id="{4322982D-1C75-4B7B-816E-F6F180A8BC7F}"/>
            </a:ext>
          </a:extLst>
        </xdr:cNvPr>
        <xdr:cNvSpPr/>
      </xdr:nvSpPr>
      <xdr:spPr>
        <a:xfrm>
          <a:off x="369570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685</xdr:row>
      <xdr:rowOff>0</xdr:rowOff>
    </xdr:from>
    <xdr:to>
      <xdr:col>5</xdr:col>
      <xdr:colOff>83820</xdr:colOff>
      <xdr:row>685</xdr:row>
      <xdr:rowOff>114300</xdr:rowOff>
    </xdr:to>
    <xdr:sp macro="" textlink="">
      <xdr:nvSpPr>
        <xdr:cNvPr id="5182" name="Arrow: Down 5181">
          <a:extLst>
            <a:ext uri="{FF2B5EF4-FFF2-40B4-BE49-F238E27FC236}">
              <a16:creationId xmlns:a16="http://schemas.microsoft.com/office/drawing/2014/main" id="{5FE84DFA-C9BC-4B28-A660-B2393B4F8805}"/>
            </a:ext>
          </a:extLst>
        </xdr:cNvPr>
        <xdr:cNvSpPr/>
      </xdr:nvSpPr>
      <xdr:spPr>
        <a:xfrm>
          <a:off x="192786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685</xdr:row>
      <xdr:rowOff>0</xdr:rowOff>
    </xdr:from>
    <xdr:to>
      <xdr:col>39</xdr:col>
      <xdr:colOff>83820</xdr:colOff>
      <xdr:row>685</xdr:row>
      <xdr:rowOff>114300</xdr:rowOff>
    </xdr:to>
    <xdr:sp macro="" textlink="">
      <xdr:nvSpPr>
        <xdr:cNvPr id="5187" name="Arrow: Down 5186">
          <a:extLst>
            <a:ext uri="{FF2B5EF4-FFF2-40B4-BE49-F238E27FC236}">
              <a16:creationId xmlns:a16="http://schemas.microsoft.com/office/drawing/2014/main" id="{84EF113F-D417-45DA-9B0D-E0658943B4B8}"/>
            </a:ext>
          </a:extLst>
        </xdr:cNvPr>
        <xdr:cNvSpPr/>
      </xdr:nvSpPr>
      <xdr:spPr>
        <a:xfrm>
          <a:off x="1154430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685</xdr:row>
      <xdr:rowOff>0</xdr:rowOff>
    </xdr:from>
    <xdr:to>
      <xdr:col>60</xdr:col>
      <xdr:colOff>83820</xdr:colOff>
      <xdr:row>685</xdr:row>
      <xdr:rowOff>114300</xdr:rowOff>
    </xdr:to>
    <xdr:sp macro="" textlink="">
      <xdr:nvSpPr>
        <xdr:cNvPr id="5190" name="Arrow: Down 5189">
          <a:extLst>
            <a:ext uri="{FF2B5EF4-FFF2-40B4-BE49-F238E27FC236}">
              <a16:creationId xmlns:a16="http://schemas.microsoft.com/office/drawing/2014/main" id="{941AD832-25A4-4C82-8389-11D0E7F3E211}"/>
            </a:ext>
          </a:extLst>
        </xdr:cNvPr>
        <xdr:cNvSpPr/>
      </xdr:nvSpPr>
      <xdr:spPr>
        <a:xfrm rot="10800000">
          <a:off x="190804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686</xdr:row>
      <xdr:rowOff>0</xdr:rowOff>
    </xdr:from>
    <xdr:to>
      <xdr:col>45</xdr:col>
      <xdr:colOff>83820</xdr:colOff>
      <xdr:row>686</xdr:row>
      <xdr:rowOff>114300</xdr:rowOff>
    </xdr:to>
    <xdr:sp macro="" textlink="">
      <xdr:nvSpPr>
        <xdr:cNvPr id="5201" name="Arrow: Down 5200">
          <a:extLst>
            <a:ext uri="{FF2B5EF4-FFF2-40B4-BE49-F238E27FC236}">
              <a16:creationId xmlns:a16="http://schemas.microsoft.com/office/drawing/2014/main" id="{5A850922-48AE-4B2A-8B1D-4FE79A28BDA1}"/>
            </a:ext>
          </a:extLst>
        </xdr:cNvPr>
        <xdr:cNvSpPr/>
      </xdr:nvSpPr>
      <xdr:spPr>
        <a:xfrm>
          <a:off x="134035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686</xdr:row>
      <xdr:rowOff>0</xdr:rowOff>
    </xdr:from>
    <xdr:to>
      <xdr:col>71</xdr:col>
      <xdr:colOff>83820</xdr:colOff>
      <xdr:row>686</xdr:row>
      <xdr:rowOff>114300</xdr:rowOff>
    </xdr:to>
    <xdr:sp macro="" textlink="">
      <xdr:nvSpPr>
        <xdr:cNvPr id="5202" name="Arrow: Down 5201">
          <a:extLst>
            <a:ext uri="{FF2B5EF4-FFF2-40B4-BE49-F238E27FC236}">
              <a16:creationId xmlns:a16="http://schemas.microsoft.com/office/drawing/2014/main" id="{592FF6D9-4062-48E8-8056-58C760006DA0}"/>
            </a:ext>
          </a:extLst>
        </xdr:cNvPr>
        <xdr:cNvSpPr/>
      </xdr:nvSpPr>
      <xdr:spPr>
        <a:xfrm rot="10800000">
          <a:off x="2196084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686</xdr:row>
      <xdr:rowOff>0</xdr:rowOff>
    </xdr:from>
    <xdr:to>
      <xdr:col>24</xdr:col>
      <xdr:colOff>83820</xdr:colOff>
      <xdr:row>686</xdr:row>
      <xdr:rowOff>114300</xdr:rowOff>
    </xdr:to>
    <xdr:sp macro="" textlink="">
      <xdr:nvSpPr>
        <xdr:cNvPr id="5206" name="Arrow: Down 5205">
          <a:extLst>
            <a:ext uri="{FF2B5EF4-FFF2-40B4-BE49-F238E27FC236}">
              <a16:creationId xmlns:a16="http://schemas.microsoft.com/office/drawing/2014/main" id="{B9B4809C-8FE2-454F-A7E8-F731C9CAD363}"/>
            </a:ext>
          </a:extLst>
        </xdr:cNvPr>
        <xdr:cNvSpPr/>
      </xdr:nvSpPr>
      <xdr:spPr>
        <a:xfrm rot="10800000">
          <a:off x="83362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684</xdr:row>
      <xdr:rowOff>0</xdr:rowOff>
    </xdr:from>
    <xdr:to>
      <xdr:col>5</xdr:col>
      <xdr:colOff>83820</xdr:colOff>
      <xdr:row>684</xdr:row>
      <xdr:rowOff>114300</xdr:rowOff>
    </xdr:to>
    <xdr:sp macro="" textlink="">
      <xdr:nvSpPr>
        <xdr:cNvPr id="5214" name="Arrow: Down 5213">
          <a:extLst>
            <a:ext uri="{FF2B5EF4-FFF2-40B4-BE49-F238E27FC236}">
              <a16:creationId xmlns:a16="http://schemas.microsoft.com/office/drawing/2014/main" id="{86477885-30B1-40D3-AD01-CD5365E3D789}"/>
            </a:ext>
          </a:extLst>
        </xdr:cNvPr>
        <xdr:cNvSpPr/>
      </xdr:nvSpPr>
      <xdr:spPr>
        <a:xfrm rot="10800000">
          <a:off x="192786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684</xdr:row>
      <xdr:rowOff>0</xdr:rowOff>
    </xdr:from>
    <xdr:to>
      <xdr:col>11</xdr:col>
      <xdr:colOff>83820</xdr:colOff>
      <xdr:row>684</xdr:row>
      <xdr:rowOff>114300</xdr:rowOff>
    </xdr:to>
    <xdr:sp macro="" textlink="">
      <xdr:nvSpPr>
        <xdr:cNvPr id="5218" name="Arrow: Down 5217">
          <a:extLst>
            <a:ext uri="{FF2B5EF4-FFF2-40B4-BE49-F238E27FC236}">
              <a16:creationId xmlns:a16="http://schemas.microsoft.com/office/drawing/2014/main" id="{855F1FCF-0809-44BA-8ED1-E826669FBFA2}"/>
            </a:ext>
          </a:extLst>
        </xdr:cNvPr>
        <xdr:cNvSpPr/>
      </xdr:nvSpPr>
      <xdr:spPr>
        <a:xfrm rot="10800000">
          <a:off x="369570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686</xdr:row>
      <xdr:rowOff>0</xdr:rowOff>
    </xdr:from>
    <xdr:to>
      <xdr:col>5</xdr:col>
      <xdr:colOff>83820</xdr:colOff>
      <xdr:row>686</xdr:row>
      <xdr:rowOff>114300</xdr:rowOff>
    </xdr:to>
    <xdr:sp macro="" textlink="">
      <xdr:nvSpPr>
        <xdr:cNvPr id="5220" name="Arrow: Down 5219">
          <a:extLst>
            <a:ext uri="{FF2B5EF4-FFF2-40B4-BE49-F238E27FC236}">
              <a16:creationId xmlns:a16="http://schemas.microsoft.com/office/drawing/2014/main" id="{F6F4285E-048E-4FF1-BB77-38D0A174C6AE}"/>
            </a:ext>
          </a:extLst>
        </xdr:cNvPr>
        <xdr:cNvSpPr/>
      </xdr:nvSpPr>
      <xdr:spPr>
        <a:xfrm rot="10800000">
          <a:off x="192786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686</xdr:row>
      <xdr:rowOff>0</xdr:rowOff>
    </xdr:from>
    <xdr:to>
      <xdr:col>11</xdr:col>
      <xdr:colOff>83820</xdr:colOff>
      <xdr:row>686</xdr:row>
      <xdr:rowOff>114300</xdr:rowOff>
    </xdr:to>
    <xdr:sp macro="" textlink="">
      <xdr:nvSpPr>
        <xdr:cNvPr id="5222" name="Arrow: Down 5221">
          <a:extLst>
            <a:ext uri="{FF2B5EF4-FFF2-40B4-BE49-F238E27FC236}">
              <a16:creationId xmlns:a16="http://schemas.microsoft.com/office/drawing/2014/main" id="{1CDB973C-39B9-4001-AB2F-156A3236D558}"/>
            </a:ext>
          </a:extLst>
        </xdr:cNvPr>
        <xdr:cNvSpPr/>
      </xdr:nvSpPr>
      <xdr:spPr>
        <a:xfrm rot="10800000">
          <a:off x="369570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686</xdr:row>
      <xdr:rowOff>0</xdr:rowOff>
    </xdr:from>
    <xdr:to>
      <xdr:col>39</xdr:col>
      <xdr:colOff>83820</xdr:colOff>
      <xdr:row>686</xdr:row>
      <xdr:rowOff>114300</xdr:rowOff>
    </xdr:to>
    <xdr:sp macro="" textlink="">
      <xdr:nvSpPr>
        <xdr:cNvPr id="5223" name="Arrow: Down 5222">
          <a:extLst>
            <a:ext uri="{FF2B5EF4-FFF2-40B4-BE49-F238E27FC236}">
              <a16:creationId xmlns:a16="http://schemas.microsoft.com/office/drawing/2014/main" id="{EC10730A-D7DF-47F7-AC85-290F5D8248A9}"/>
            </a:ext>
          </a:extLst>
        </xdr:cNvPr>
        <xdr:cNvSpPr/>
      </xdr:nvSpPr>
      <xdr:spPr>
        <a:xfrm rot="10800000">
          <a:off x="11544300" y="125554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686</xdr:row>
      <xdr:rowOff>0</xdr:rowOff>
    </xdr:from>
    <xdr:to>
      <xdr:col>60</xdr:col>
      <xdr:colOff>83820</xdr:colOff>
      <xdr:row>686</xdr:row>
      <xdr:rowOff>114300</xdr:rowOff>
    </xdr:to>
    <xdr:sp macro="" textlink="">
      <xdr:nvSpPr>
        <xdr:cNvPr id="5227" name="Arrow: Down 5226">
          <a:extLst>
            <a:ext uri="{FF2B5EF4-FFF2-40B4-BE49-F238E27FC236}">
              <a16:creationId xmlns:a16="http://schemas.microsoft.com/office/drawing/2014/main" id="{BFF396FD-575E-4890-A0EB-E942AAEB4687}"/>
            </a:ext>
          </a:extLst>
        </xdr:cNvPr>
        <xdr:cNvSpPr/>
      </xdr:nvSpPr>
      <xdr:spPr>
        <a:xfrm>
          <a:off x="19080480" y="1255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687</xdr:row>
      <xdr:rowOff>0</xdr:rowOff>
    </xdr:from>
    <xdr:to>
      <xdr:col>45</xdr:col>
      <xdr:colOff>83820</xdr:colOff>
      <xdr:row>687</xdr:row>
      <xdr:rowOff>114300</xdr:rowOff>
    </xdr:to>
    <xdr:sp macro="" textlink="">
      <xdr:nvSpPr>
        <xdr:cNvPr id="5240" name="Arrow: Down 5239">
          <a:extLst>
            <a:ext uri="{FF2B5EF4-FFF2-40B4-BE49-F238E27FC236}">
              <a16:creationId xmlns:a16="http://schemas.microsoft.com/office/drawing/2014/main" id="{4E83BEB2-6AB1-4E47-96B7-1209B335FFD8}"/>
            </a:ext>
          </a:extLst>
        </xdr:cNvPr>
        <xdr:cNvSpPr/>
      </xdr:nvSpPr>
      <xdr:spPr>
        <a:xfrm>
          <a:off x="1340358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687</xdr:row>
      <xdr:rowOff>0</xdr:rowOff>
    </xdr:from>
    <xdr:to>
      <xdr:col>71</xdr:col>
      <xdr:colOff>83820</xdr:colOff>
      <xdr:row>687</xdr:row>
      <xdr:rowOff>114300</xdr:rowOff>
    </xdr:to>
    <xdr:sp macro="" textlink="">
      <xdr:nvSpPr>
        <xdr:cNvPr id="5241" name="Arrow: Down 5240">
          <a:extLst>
            <a:ext uri="{FF2B5EF4-FFF2-40B4-BE49-F238E27FC236}">
              <a16:creationId xmlns:a16="http://schemas.microsoft.com/office/drawing/2014/main" id="{8B0B55B7-2FFC-42F3-8354-673A9EF44BA2}"/>
            </a:ext>
          </a:extLst>
        </xdr:cNvPr>
        <xdr:cNvSpPr/>
      </xdr:nvSpPr>
      <xdr:spPr>
        <a:xfrm rot="10800000">
          <a:off x="2196084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687</xdr:row>
      <xdr:rowOff>0</xdr:rowOff>
    </xdr:from>
    <xdr:to>
      <xdr:col>60</xdr:col>
      <xdr:colOff>83820</xdr:colOff>
      <xdr:row>687</xdr:row>
      <xdr:rowOff>114300</xdr:rowOff>
    </xdr:to>
    <xdr:sp macro="" textlink="">
      <xdr:nvSpPr>
        <xdr:cNvPr id="5246" name="Arrow: Down 5245">
          <a:extLst>
            <a:ext uri="{FF2B5EF4-FFF2-40B4-BE49-F238E27FC236}">
              <a16:creationId xmlns:a16="http://schemas.microsoft.com/office/drawing/2014/main" id="{285A00DE-2AB6-479B-A690-653424D29A29}"/>
            </a:ext>
          </a:extLst>
        </xdr:cNvPr>
        <xdr:cNvSpPr/>
      </xdr:nvSpPr>
      <xdr:spPr>
        <a:xfrm>
          <a:off x="19080480" y="1255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687</xdr:row>
      <xdr:rowOff>0</xdr:rowOff>
    </xdr:from>
    <xdr:to>
      <xdr:col>24</xdr:col>
      <xdr:colOff>83820</xdr:colOff>
      <xdr:row>687</xdr:row>
      <xdr:rowOff>114300</xdr:rowOff>
    </xdr:to>
    <xdr:sp macro="" textlink="">
      <xdr:nvSpPr>
        <xdr:cNvPr id="5248" name="Arrow: Down 5247">
          <a:extLst>
            <a:ext uri="{FF2B5EF4-FFF2-40B4-BE49-F238E27FC236}">
              <a16:creationId xmlns:a16="http://schemas.microsoft.com/office/drawing/2014/main" id="{BA58B7C4-FE4D-4379-8131-3AAD41BEA251}"/>
            </a:ext>
          </a:extLst>
        </xdr:cNvPr>
        <xdr:cNvSpPr/>
      </xdr:nvSpPr>
      <xdr:spPr>
        <a:xfrm>
          <a:off x="833628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687</xdr:row>
      <xdr:rowOff>0</xdr:rowOff>
    </xdr:from>
    <xdr:to>
      <xdr:col>5</xdr:col>
      <xdr:colOff>83820</xdr:colOff>
      <xdr:row>687</xdr:row>
      <xdr:rowOff>114300</xdr:rowOff>
    </xdr:to>
    <xdr:sp macro="" textlink="">
      <xdr:nvSpPr>
        <xdr:cNvPr id="5250" name="Arrow: Down 5249">
          <a:extLst>
            <a:ext uri="{FF2B5EF4-FFF2-40B4-BE49-F238E27FC236}">
              <a16:creationId xmlns:a16="http://schemas.microsoft.com/office/drawing/2014/main" id="{60750BA3-BCAB-4219-8472-62D8FC400D53}"/>
            </a:ext>
          </a:extLst>
        </xdr:cNvPr>
        <xdr:cNvSpPr/>
      </xdr:nvSpPr>
      <xdr:spPr>
        <a:xfrm>
          <a:off x="192786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687</xdr:row>
      <xdr:rowOff>0</xdr:rowOff>
    </xdr:from>
    <xdr:to>
      <xdr:col>11</xdr:col>
      <xdr:colOff>83820</xdr:colOff>
      <xdr:row>687</xdr:row>
      <xdr:rowOff>114300</xdr:rowOff>
    </xdr:to>
    <xdr:sp macro="" textlink="">
      <xdr:nvSpPr>
        <xdr:cNvPr id="5252" name="Arrow: Down 5251">
          <a:extLst>
            <a:ext uri="{FF2B5EF4-FFF2-40B4-BE49-F238E27FC236}">
              <a16:creationId xmlns:a16="http://schemas.microsoft.com/office/drawing/2014/main" id="{F93E2DCD-6B7D-4A74-A99C-A748437237AE}"/>
            </a:ext>
          </a:extLst>
        </xdr:cNvPr>
        <xdr:cNvSpPr/>
      </xdr:nvSpPr>
      <xdr:spPr>
        <a:xfrm>
          <a:off x="369570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687</xdr:row>
      <xdr:rowOff>0</xdr:rowOff>
    </xdr:from>
    <xdr:to>
      <xdr:col>39</xdr:col>
      <xdr:colOff>83820</xdr:colOff>
      <xdr:row>687</xdr:row>
      <xdr:rowOff>114300</xdr:rowOff>
    </xdr:to>
    <xdr:sp macro="" textlink="">
      <xdr:nvSpPr>
        <xdr:cNvPr id="5254" name="Arrow: Down 5253">
          <a:extLst>
            <a:ext uri="{FF2B5EF4-FFF2-40B4-BE49-F238E27FC236}">
              <a16:creationId xmlns:a16="http://schemas.microsoft.com/office/drawing/2014/main" id="{B620983B-FE0E-43B3-BEC9-06B10EADCAC8}"/>
            </a:ext>
          </a:extLst>
        </xdr:cNvPr>
        <xdr:cNvSpPr/>
      </xdr:nvSpPr>
      <xdr:spPr>
        <a:xfrm>
          <a:off x="1154430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688</xdr:row>
      <xdr:rowOff>0</xdr:rowOff>
    </xdr:from>
    <xdr:to>
      <xdr:col>45</xdr:col>
      <xdr:colOff>83820</xdr:colOff>
      <xdr:row>688</xdr:row>
      <xdr:rowOff>114300</xdr:rowOff>
    </xdr:to>
    <xdr:sp macro="" textlink="">
      <xdr:nvSpPr>
        <xdr:cNvPr id="5255" name="Arrow: Down 5254">
          <a:extLst>
            <a:ext uri="{FF2B5EF4-FFF2-40B4-BE49-F238E27FC236}">
              <a16:creationId xmlns:a16="http://schemas.microsoft.com/office/drawing/2014/main" id="{DFB4B1B9-D201-4D0E-A66B-8972D1DBF832}"/>
            </a:ext>
          </a:extLst>
        </xdr:cNvPr>
        <xdr:cNvSpPr/>
      </xdr:nvSpPr>
      <xdr:spPr>
        <a:xfrm>
          <a:off x="1340358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688</xdr:row>
      <xdr:rowOff>0</xdr:rowOff>
    </xdr:from>
    <xdr:to>
      <xdr:col>71</xdr:col>
      <xdr:colOff>83820</xdr:colOff>
      <xdr:row>688</xdr:row>
      <xdr:rowOff>114300</xdr:rowOff>
    </xdr:to>
    <xdr:sp macro="" textlink="">
      <xdr:nvSpPr>
        <xdr:cNvPr id="5256" name="Arrow: Down 5255">
          <a:extLst>
            <a:ext uri="{FF2B5EF4-FFF2-40B4-BE49-F238E27FC236}">
              <a16:creationId xmlns:a16="http://schemas.microsoft.com/office/drawing/2014/main" id="{C0102DFC-BA40-4537-9F49-1562A2AE1A4D}"/>
            </a:ext>
          </a:extLst>
        </xdr:cNvPr>
        <xdr:cNvSpPr/>
      </xdr:nvSpPr>
      <xdr:spPr>
        <a:xfrm rot="10800000">
          <a:off x="2196084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688</xdr:row>
      <xdr:rowOff>0</xdr:rowOff>
    </xdr:from>
    <xdr:to>
      <xdr:col>39</xdr:col>
      <xdr:colOff>83820</xdr:colOff>
      <xdr:row>688</xdr:row>
      <xdr:rowOff>114300</xdr:rowOff>
    </xdr:to>
    <xdr:sp macro="" textlink="">
      <xdr:nvSpPr>
        <xdr:cNvPr id="5261" name="Arrow: Down 5260">
          <a:extLst>
            <a:ext uri="{FF2B5EF4-FFF2-40B4-BE49-F238E27FC236}">
              <a16:creationId xmlns:a16="http://schemas.microsoft.com/office/drawing/2014/main" id="{53EE0794-B82E-4C53-93EF-4F438FA96F8E}"/>
            </a:ext>
          </a:extLst>
        </xdr:cNvPr>
        <xdr:cNvSpPr/>
      </xdr:nvSpPr>
      <xdr:spPr>
        <a:xfrm>
          <a:off x="1154430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688</xdr:row>
      <xdr:rowOff>0</xdr:rowOff>
    </xdr:from>
    <xdr:to>
      <xdr:col>24</xdr:col>
      <xdr:colOff>83820</xdr:colOff>
      <xdr:row>688</xdr:row>
      <xdr:rowOff>114300</xdr:rowOff>
    </xdr:to>
    <xdr:sp macro="" textlink="">
      <xdr:nvSpPr>
        <xdr:cNvPr id="5263" name="Arrow: Down 5262">
          <a:extLst>
            <a:ext uri="{FF2B5EF4-FFF2-40B4-BE49-F238E27FC236}">
              <a16:creationId xmlns:a16="http://schemas.microsoft.com/office/drawing/2014/main" id="{E877809E-4CB0-414B-BE10-6E9F624A7A1D}"/>
            </a:ext>
          </a:extLst>
        </xdr:cNvPr>
        <xdr:cNvSpPr/>
      </xdr:nvSpPr>
      <xdr:spPr>
        <a:xfrm rot="10800000">
          <a:off x="83362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688</xdr:row>
      <xdr:rowOff>0</xdr:rowOff>
    </xdr:from>
    <xdr:to>
      <xdr:col>11</xdr:col>
      <xdr:colOff>83820</xdr:colOff>
      <xdr:row>688</xdr:row>
      <xdr:rowOff>114300</xdr:rowOff>
    </xdr:to>
    <xdr:sp macro="" textlink="">
      <xdr:nvSpPr>
        <xdr:cNvPr id="5265" name="Arrow: Down 5264">
          <a:extLst>
            <a:ext uri="{FF2B5EF4-FFF2-40B4-BE49-F238E27FC236}">
              <a16:creationId xmlns:a16="http://schemas.microsoft.com/office/drawing/2014/main" id="{8CDC9A1A-FF10-4F27-8417-084F98298BA1}"/>
            </a:ext>
          </a:extLst>
        </xdr:cNvPr>
        <xdr:cNvSpPr/>
      </xdr:nvSpPr>
      <xdr:spPr>
        <a:xfrm rot="10800000">
          <a:off x="369570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688</xdr:row>
      <xdr:rowOff>0</xdr:rowOff>
    </xdr:from>
    <xdr:to>
      <xdr:col>5</xdr:col>
      <xdr:colOff>83820</xdr:colOff>
      <xdr:row>688</xdr:row>
      <xdr:rowOff>114300</xdr:rowOff>
    </xdr:to>
    <xdr:sp macro="" textlink="">
      <xdr:nvSpPr>
        <xdr:cNvPr id="5267" name="Arrow: Down 5266">
          <a:extLst>
            <a:ext uri="{FF2B5EF4-FFF2-40B4-BE49-F238E27FC236}">
              <a16:creationId xmlns:a16="http://schemas.microsoft.com/office/drawing/2014/main" id="{AC9079C3-E3ED-4150-8B6E-6BD22169F7C7}"/>
            </a:ext>
          </a:extLst>
        </xdr:cNvPr>
        <xdr:cNvSpPr/>
      </xdr:nvSpPr>
      <xdr:spPr>
        <a:xfrm rot="10800000">
          <a:off x="192786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689</xdr:row>
      <xdr:rowOff>0</xdr:rowOff>
    </xdr:from>
    <xdr:to>
      <xdr:col>45</xdr:col>
      <xdr:colOff>83820</xdr:colOff>
      <xdr:row>689</xdr:row>
      <xdr:rowOff>114300</xdr:rowOff>
    </xdr:to>
    <xdr:sp macro="" textlink="">
      <xdr:nvSpPr>
        <xdr:cNvPr id="5268" name="Arrow: Down 5267">
          <a:extLst>
            <a:ext uri="{FF2B5EF4-FFF2-40B4-BE49-F238E27FC236}">
              <a16:creationId xmlns:a16="http://schemas.microsoft.com/office/drawing/2014/main" id="{104638F0-130F-4DC2-81AD-5B57644E43B2}"/>
            </a:ext>
          </a:extLst>
        </xdr:cNvPr>
        <xdr:cNvSpPr/>
      </xdr:nvSpPr>
      <xdr:spPr>
        <a:xfrm>
          <a:off x="134035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689</xdr:row>
      <xdr:rowOff>0</xdr:rowOff>
    </xdr:from>
    <xdr:to>
      <xdr:col>71</xdr:col>
      <xdr:colOff>83820</xdr:colOff>
      <xdr:row>689</xdr:row>
      <xdr:rowOff>114300</xdr:rowOff>
    </xdr:to>
    <xdr:sp macro="" textlink="">
      <xdr:nvSpPr>
        <xdr:cNvPr id="5269" name="Arrow: Down 5268">
          <a:extLst>
            <a:ext uri="{FF2B5EF4-FFF2-40B4-BE49-F238E27FC236}">
              <a16:creationId xmlns:a16="http://schemas.microsoft.com/office/drawing/2014/main" id="{F64BBB25-9973-41F7-BF18-CF80C99561AE}"/>
            </a:ext>
          </a:extLst>
        </xdr:cNvPr>
        <xdr:cNvSpPr/>
      </xdr:nvSpPr>
      <xdr:spPr>
        <a:xfrm rot="10800000">
          <a:off x="2196084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689</xdr:row>
      <xdr:rowOff>0</xdr:rowOff>
    </xdr:from>
    <xdr:to>
      <xdr:col>39</xdr:col>
      <xdr:colOff>83820</xdr:colOff>
      <xdr:row>689</xdr:row>
      <xdr:rowOff>114300</xdr:rowOff>
    </xdr:to>
    <xdr:sp macro="" textlink="">
      <xdr:nvSpPr>
        <xdr:cNvPr id="5271" name="Arrow: Down 5270">
          <a:extLst>
            <a:ext uri="{FF2B5EF4-FFF2-40B4-BE49-F238E27FC236}">
              <a16:creationId xmlns:a16="http://schemas.microsoft.com/office/drawing/2014/main" id="{1F92CBC7-9CC7-4F47-AB9F-33E069F542ED}"/>
            </a:ext>
          </a:extLst>
        </xdr:cNvPr>
        <xdr:cNvSpPr/>
      </xdr:nvSpPr>
      <xdr:spPr>
        <a:xfrm>
          <a:off x="1154430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688</xdr:row>
      <xdr:rowOff>0</xdr:rowOff>
    </xdr:from>
    <xdr:to>
      <xdr:col>60</xdr:col>
      <xdr:colOff>83820</xdr:colOff>
      <xdr:row>688</xdr:row>
      <xdr:rowOff>114300</xdr:rowOff>
    </xdr:to>
    <xdr:sp macro="" textlink="">
      <xdr:nvSpPr>
        <xdr:cNvPr id="5276" name="Arrow: Down 5275">
          <a:extLst>
            <a:ext uri="{FF2B5EF4-FFF2-40B4-BE49-F238E27FC236}">
              <a16:creationId xmlns:a16="http://schemas.microsoft.com/office/drawing/2014/main" id="{0DA4CF40-6CCB-4A29-BB23-1AA2494B5BC6}"/>
            </a:ext>
          </a:extLst>
        </xdr:cNvPr>
        <xdr:cNvSpPr/>
      </xdr:nvSpPr>
      <xdr:spPr>
        <a:xfrm rot="10800000">
          <a:off x="190804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689</xdr:row>
      <xdr:rowOff>0</xdr:rowOff>
    </xdr:from>
    <xdr:to>
      <xdr:col>60</xdr:col>
      <xdr:colOff>83820</xdr:colOff>
      <xdr:row>689</xdr:row>
      <xdr:rowOff>114300</xdr:rowOff>
    </xdr:to>
    <xdr:sp macro="" textlink="">
      <xdr:nvSpPr>
        <xdr:cNvPr id="5277" name="Arrow: Down 5276">
          <a:extLst>
            <a:ext uri="{FF2B5EF4-FFF2-40B4-BE49-F238E27FC236}">
              <a16:creationId xmlns:a16="http://schemas.microsoft.com/office/drawing/2014/main" id="{370092F1-1A67-424B-BCC8-680460FF5B38}"/>
            </a:ext>
          </a:extLst>
        </xdr:cNvPr>
        <xdr:cNvSpPr/>
      </xdr:nvSpPr>
      <xdr:spPr>
        <a:xfrm rot="10800000">
          <a:off x="1908048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689</xdr:row>
      <xdr:rowOff>0</xdr:rowOff>
    </xdr:from>
    <xdr:to>
      <xdr:col>5</xdr:col>
      <xdr:colOff>83820</xdr:colOff>
      <xdr:row>689</xdr:row>
      <xdr:rowOff>114300</xdr:rowOff>
    </xdr:to>
    <xdr:sp macro="" textlink="">
      <xdr:nvSpPr>
        <xdr:cNvPr id="5279" name="Arrow: Down 5278">
          <a:extLst>
            <a:ext uri="{FF2B5EF4-FFF2-40B4-BE49-F238E27FC236}">
              <a16:creationId xmlns:a16="http://schemas.microsoft.com/office/drawing/2014/main" id="{F4B58063-618E-43D1-9F89-DDD37CCB9825}"/>
            </a:ext>
          </a:extLst>
        </xdr:cNvPr>
        <xdr:cNvSpPr/>
      </xdr:nvSpPr>
      <xdr:spPr>
        <a:xfrm>
          <a:off x="192786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689</xdr:row>
      <xdr:rowOff>0</xdr:rowOff>
    </xdr:from>
    <xdr:to>
      <xdr:col>11</xdr:col>
      <xdr:colOff>83820</xdr:colOff>
      <xdr:row>689</xdr:row>
      <xdr:rowOff>114300</xdr:rowOff>
    </xdr:to>
    <xdr:sp macro="" textlink="">
      <xdr:nvSpPr>
        <xdr:cNvPr id="5280" name="Arrow: Down 5279">
          <a:extLst>
            <a:ext uri="{FF2B5EF4-FFF2-40B4-BE49-F238E27FC236}">
              <a16:creationId xmlns:a16="http://schemas.microsoft.com/office/drawing/2014/main" id="{18860A57-9A04-4367-986B-A09B34FED128}"/>
            </a:ext>
          </a:extLst>
        </xdr:cNvPr>
        <xdr:cNvSpPr/>
      </xdr:nvSpPr>
      <xdr:spPr>
        <a:xfrm>
          <a:off x="369570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689</xdr:row>
      <xdr:rowOff>0</xdr:rowOff>
    </xdr:from>
    <xdr:to>
      <xdr:col>24</xdr:col>
      <xdr:colOff>83820</xdr:colOff>
      <xdr:row>689</xdr:row>
      <xdr:rowOff>114300</xdr:rowOff>
    </xdr:to>
    <xdr:sp macro="" textlink="">
      <xdr:nvSpPr>
        <xdr:cNvPr id="5282" name="Arrow: Down 5281">
          <a:extLst>
            <a:ext uri="{FF2B5EF4-FFF2-40B4-BE49-F238E27FC236}">
              <a16:creationId xmlns:a16="http://schemas.microsoft.com/office/drawing/2014/main" id="{C6C9605A-DAE6-4F8F-BF7D-8E3D4232873C}"/>
            </a:ext>
          </a:extLst>
        </xdr:cNvPr>
        <xdr:cNvSpPr/>
      </xdr:nvSpPr>
      <xdr:spPr>
        <a:xfrm>
          <a:off x="833628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690</xdr:row>
      <xdr:rowOff>0</xdr:rowOff>
    </xdr:from>
    <xdr:to>
      <xdr:col>45</xdr:col>
      <xdr:colOff>83820</xdr:colOff>
      <xdr:row>690</xdr:row>
      <xdr:rowOff>114300</xdr:rowOff>
    </xdr:to>
    <xdr:sp macro="" textlink="">
      <xdr:nvSpPr>
        <xdr:cNvPr id="5283" name="Arrow: Down 5282">
          <a:extLst>
            <a:ext uri="{FF2B5EF4-FFF2-40B4-BE49-F238E27FC236}">
              <a16:creationId xmlns:a16="http://schemas.microsoft.com/office/drawing/2014/main" id="{AAFD56AE-EF56-4066-B285-498EA80921B4}"/>
            </a:ext>
          </a:extLst>
        </xdr:cNvPr>
        <xdr:cNvSpPr/>
      </xdr:nvSpPr>
      <xdr:spPr>
        <a:xfrm>
          <a:off x="1340358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690</xdr:row>
      <xdr:rowOff>0</xdr:rowOff>
    </xdr:from>
    <xdr:to>
      <xdr:col>71</xdr:col>
      <xdr:colOff>83820</xdr:colOff>
      <xdr:row>690</xdr:row>
      <xdr:rowOff>114300</xdr:rowOff>
    </xdr:to>
    <xdr:sp macro="" textlink="">
      <xdr:nvSpPr>
        <xdr:cNvPr id="5284" name="Arrow: Down 5283">
          <a:extLst>
            <a:ext uri="{FF2B5EF4-FFF2-40B4-BE49-F238E27FC236}">
              <a16:creationId xmlns:a16="http://schemas.microsoft.com/office/drawing/2014/main" id="{4951A49E-18BA-4C7B-9821-1211C771AACD}"/>
            </a:ext>
          </a:extLst>
        </xdr:cNvPr>
        <xdr:cNvSpPr/>
      </xdr:nvSpPr>
      <xdr:spPr>
        <a:xfrm rot="10800000">
          <a:off x="2196084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690</xdr:row>
      <xdr:rowOff>0</xdr:rowOff>
    </xdr:from>
    <xdr:to>
      <xdr:col>39</xdr:col>
      <xdr:colOff>83820</xdr:colOff>
      <xdr:row>690</xdr:row>
      <xdr:rowOff>114300</xdr:rowOff>
    </xdr:to>
    <xdr:sp macro="" textlink="">
      <xdr:nvSpPr>
        <xdr:cNvPr id="5285" name="Arrow: Down 5284">
          <a:extLst>
            <a:ext uri="{FF2B5EF4-FFF2-40B4-BE49-F238E27FC236}">
              <a16:creationId xmlns:a16="http://schemas.microsoft.com/office/drawing/2014/main" id="{ECEF8333-4876-42E0-B193-5D281F9A9225}"/>
            </a:ext>
          </a:extLst>
        </xdr:cNvPr>
        <xdr:cNvSpPr/>
      </xdr:nvSpPr>
      <xdr:spPr>
        <a:xfrm>
          <a:off x="1154430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690</xdr:row>
      <xdr:rowOff>0</xdr:rowOff>
    </xdr:from>
    <xdr:to>
      <xdr:col>5</xdr:col>
      <xdr:colOff>83820</xdr:colOff>
      <xdr:row>690</xdr:row>
      <xdr:rowOff>114300</xdr:rowOff>
    </xdr:to>
    <xdr:sp macro="" textlink="">
      <xdr:nvSpPr>
        <xdr:cNvPr id="5287" name="Arrow: Down 5286">
          <a:extLst>
            <a:ext uri="{FF2B5EF4-FFF2-40B4-BE49-F238E27FC236}">
              <a16:creationId xmlns:a16="http://schemas.microsoft.com/office/drawing/2014/main" id="{BE587210-3299-46BE-BAB8-E0522914DD01}"/>
            </a:ext>
          </a:extLst>
        </xdr:cNvPr>
        <xdr:cNvSpPr/>
      </xdr:nvSpPr>
      <xdr:spPr>
        <a:xfrm>
          <a:off x="192786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690</xdr:row>
      <xdr:rowOff>0</xdr:rowOff>
    </xdr:from>
    <xdr:to>
      <xdr:col>11</xdr:col>
      <xdr:colOff>83820</xdr:colOff>
      <xdr:row>690</xdr:row>
      <xdr:rowOff>114300</xdr:rowOff>
    </xdr:to>
    <xdr:sp macro="" textlink="">
      <xdr:nvSpPr>
        <xdr:cNvPr id="5288" name="Arrow: Down 5287">
          <a:extLst>
            <a:ext uri="{FF2B5EF4-FFF2-40B4-BE49-F238E27FC236}">
              <a16:creationId xmlns:a16="http://schemas.microsoft.com/office/drawing/2014/main" id="{BD7B36AA-7647-4960-AB52-9579CAFD27EF}"/>
            </a:ext>
          </a:extLst>
        </xdr:cNvPr>
        <xdr:cNvSpPr/>
      </xdr:nvSpPr>
      <xdr:spPr>
        <a:xfrm>
          <a:off x="369570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690</xdr:row>
      <xdr:rowOff>0</xdr:rowOff>
    </xdr:from>
    <xdr:to>
      <xdr:col>24</xdr:col>
      <xdr:colOff>83820</xdr:colOff>
      <xdr:row>690</xdr:row>
      <xdr:rowOff>114300</xdr:rowOff>
    </xdr:to>
    <xdr:sp macro="" textlink="">
      <xdr:nvSpPr>
        <xdr:cNvPr id="5289" name="Arrow: Down 5288">
          <a:extLst>
            <a:ext uri="{FF2B5EF4-FFF2-40B4-BE49-F238E27FC236}">
              <a16:creationId xmlns:a16="http://schemas.microsoft.com/office/drawing/2014/main" id="{F7F477CB-7E69-40BA-AB13-871F0699890B}"/>
            </a:ext>
          </a:extLst>
        </xdr:cNvPr>
        <xdr:cNvSpPr/>
      </xdr:nvSpPr>
      <xdr:spPr>
        <a:xfrm>
          <a:off x="833628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690</xdr:row>
      <xdr:rowOff>0</xdr:rowOff>
    </xdr:from>
    <xdr:to>
      <xdr:col>60</xdr:col>
      <xdr:colOff>83820</xdr:colOff>
      <xdr:row>690</xdr:row>
      <xdr:rowOff>114300</xdr:rowOff>
    </xdr:to>
    <xdr:sp macro="" textlink="">
      <xdr:nvSpPr>
        <xdr:cNvPr id="5291" name="Arrow: Down 5290">
          <a:extLst>
            <a:ext uri="{FF2B5EF4-FFF2-40B4-BE49-F238E27FC236}">
              <a16:creationId xmlns:a16="http://schemas.microsoft.com/office/drawing/2014/main" id="{00C11B8B-24DD-47E9-A70D-D871F3E29A38}"/>
            </a:ext>
          </a:extLst>
        </xdr:cNvPr>
        <xdr:cNvSpPr/>
      </xdr:nvSpPr>
      <xdr:spPr>
        <a:xfrm>
          <a:off x="19080480" y="1262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691</xdr:row>
      <xdr:rowOff>0</xdr:rowOff>
    </xdr:from>
    <xdr:to>
      <xdr:col>71</xdr:col>
      <xdr:colOff>83820</xdr:colOff>
      <xdr:row>691</xdr:row>
      <xdr:rowOff>114300</xdr:rowOff>
    </xdr:to>
    <xdr:sp macro="" textlink="">
      <xdr:nvSpPr>
        <xdr:cNvPr id="4956" name="Arrow: Down 4955">
          <a:extLst>
            <a:ext uri="{FF2B5EF4-FFF2-40B4-BE49-F238E27FC236}">
              <a16:creationId xmlns:a16="http://schemas.microsoft.com/office/drawing/2014/main" id="{A0F033DF-2211-401E-8BF3-B5ED9EEF66F2}"/>
            </a:ext>
          </a:extLst>
        </xdr:cNvPr>
        <xdr:cNvSpPr/>
      </xdr:nvSpPr>
      <xdr:spPr>
        <a:xfrm rot="10800000">
          <a:off x="21960840" y="12628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691</xdr:row>
      <xdr:rowOff>0</xdr:rowOff>
    </xdr:from>
    <xdr:to>
      <xdr:col>60</xdr:col>
      <xdr:colOff>83820</xdr:colOff>
      <xdr:row>691</xdr:row>
      <xdr:rowOff>114300</xdr:rowOff>
    </xdr:to>
    <xdr:sp macro="" textlink="">
      <xdr:nvSpPr>
        <xdr:cNvPr id="4994" name="Arrow: Down 4993">
          <a:extLst>
            <a:ext uri="{FF2B5EF4-FFF2-40B4-BE49-F238E27FC236}">
              <a16:creationId xmlns:a16="http://schemas.microsoft.com/office/drawing/2014/main" id="{65D6AB8E-8C52-4A30-A038-7C72D47E43D4}"/>
            </a:ext>
          </a:extLst>
        </xdr:cNvPr>
        <xdr:cNvSpPr/>
      </xdr:nvSpPr>
      <xdr:spPr>
        <a:xfrm>
          <a:off x="19080480" y="1262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691</xdr:row>
      <xdr:rowOff>0</xdr:rowOff>
    </xdr:from>
    <xdr:to>
      <xdr:col>5</xdr:col>
      <xdr:colOff>83820</xdr:colOff>
      <xdr:row>691</xdr:row>
      <xdr:rowOff>114300</xdr:rowOff>
    </xdr:to>
    <xdr:sp macro="" textlink="">
      <xdr:nvSpPr>
        <xdr:cNvPr id="5005" name="Arrow: Down 5004">
          <a:extLst>
            <a:ext uri="{FF2B5EF4-FFF2-40B4-BE49-F238E27FC236}">
              <a16:creationId xmlns:a16="http://schemas.microsoft.com/office/drawing/2014/main" id="{BC7B0B2E-6438-430F-9A2E-FCCF3D911786}"/>
            </a:ext>
          </a:extLst>
        </xdr:cNvPr>
        <xdr:cNvSpPr/>
      </xdr:nvSpPr>
      <xdr:spPr>
        <a:xfrm rot="10800000">
          <a:off x="192786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691</xdr:row>
      <xdr:rowOff>0</xdr:rowOff>
    </xdr:from>
    <xdr:to>
      <xdr:col>11</xdr:col>
      <xdr:colOff>83820</xdr:colOff>
      <xdr:row>691</xdr:row>
      <xdr:rowOff>114300</xdr:rowOff>
    </xdr:to>
    <xdr:sp macro="" textlink="">
      <xdr:nvSpPr>
        <xdr:cNvPr id="5007" name="Arrow: Down 5006">
          <a:extLst>
            <a:ext uri="{FF2B5EF4-FFF2-40B4-BE49-F238E27FC236}">
              <a16:creationId xmlns:a16="http://schemas.microsoft.com/office/drawing/2014/main" id="{AA76689A-D16F-478A-AF0F-D0FC8DDD64D0}"/>
            </a:ext>
          </a:extLst>
        </xdr:cNvPr>
        <xdr:cNvSpPr/>
      </xdr:nvSpPr>
      <xdr:spPr>
        <a:xfrm rot="10800000">
          <a:off x="369570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691</xdr:row>
      <xdr:rowOff>0</xdr:rowOff>
    </xdr:from>
    <xdr:to>
      <xdr:col>24</xdr:col>
      <xdr:colOff>83820</xdr:colOff>
      <xdr:row>691</xdr:row>
      <xdr:rowOff>114300</xdr:rowOff>
    </xdr:to>
    <xdr:sp macro="" textlink="">
      <xdr:nvSpPr>
        <xdr:cNvPr id="5028" name="Arrow: Down 5027">
          <a:extLst>
            <a:ext uri="{FF2B5EF4-FFF2-40B4-BE49-F238E27FC236}">
              <a16:creationId xmlns:a16="http://schemas.microsoft.com/office/drawing/2014/main" id="{65E5C1F6-8B25-45F8-9225-B65D3AEEA2A1}"/>
            </a:ext>
          </a:extLst>
        </xdr:cNvPr>
        <xdr:cNvSpPr/>
      </xdr:nvSpPr>
      <xdr:spPr>
        <a:xfrm rot="10800000">
          <a:off x="833628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691</xdr:row>
      <xdr:rowOff>0</xdr:rowOff>
    </xdr:from>
    <xdr:to>
      <xdr:col>45</xdr:col>
      <xdr:colOff>83820</xdr:colOff>
      <xdr:row>691</xdr:row>
      <xdr:rowOff>114300</xdr:rowOff>
    </xdr:to>
    <xdr:sp macro="" textlink="">
      <xdr:nvSpPr>
        <xdr:cNvPr id="5029" name="Arrow: Down 5028">
          <a:extLst>
            <a:ext uri="{FF2B5EF4-FFF2-40B4-BE49-F238E27FC236}">
              <a16:creationId xmlns:a16="http://schemas.microsoft.com/office/drawing/2014/main" id="{08796988-8565-432E-AC39-14D70A267824}"/>
            </a:ext>
          </a:extLst>
        </xdr:cNvPr>
        <xdr:cNvSpPr/>
      </xdr:nvSpPr>
      <xdr:spPr>
        <a:xfrm rot="10800000">
          <a:off x="1340358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691</xdr:row>
      <xdr:rowOff>0</xdr:rowOff>
    </xdr:from>
    <xdr:to>
      <xdr:col>39</xdr:col>
      <xdr:colOff>83820</xdr:colOff>
      <xdr:row>691</xdr:row>
      <xdr:rowOff>114300</xdr:rowOff>
    </xdr:to>
    <xdr:sp macro="" textlink="">
      <xdr:nvSpPr>
        <xdr:cNvPr id="5039" name="Arrow: Down 5038">
          <a:extLst>
            <a:ext uri="{FF2B5EF4-FFF2-40B4-BE49-F238E27FC236}">
              <a16:creationId xmlns:a16="http://schemas.microsoft.com/office/drawing/2014/main" id="{1F6D6BD0-45C3-4565-8F1B-EA04538A787A}"/>
            </a:ext>
          </a:extLst>
        </xdr:cNvPr>
        <xdr:cNvSpPr/>
      </xdr:nvSpPr>
      <xdr:spPr>
        <a:xfrm rot="10800000">
          <a:off x="1154430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692</xdr:row>
      <xdr:rowOff>0</xdr:rowOff>
    </xdr:from>
    <xdr:to>
      <xdr:col>60</xdr:col>
      <xdr:colOff>83820</xdr:colOff>
      <xdr:row>692</xdr:row>
      <xdr:rowOff>114300</xdr:rowOff>
    </xdr:to>
    <xdr:sp macro="" textlink="">
      <xdr:nvSpPr>
        <xdr:cNvPr id="5042" name="Arrow: Down 5041">
          <a:extLst>
            <a:ext uri="{FF2B5EF4-FFF2-40B4-BE49-F238E27FC236}">
              <a16:creationId xmlns:a16="http://schemas.microsoft.com/office/drawing/2014/main" id="{1D3F571B-A54C-44C7-9128-A128955E94B5}"/>
            </a:ext>
          </a:extLst>
        </xdr:cNvPr>
        <xdr:cNvSpPr/>
      </xdr:nvSpPr>
      <xdr:spPr>
        <a:xfrm>
          <a:off x="19080480" y="1264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692</xdr:row>
      <xdr:rowOff>0</xdr:rowOff>
    </xdr:from>
    <xdr:to>
      <xdr:col>5</xdr:col>
      <xdr:colOff>83820</xdr:colOff>
      <xdr:row>692</xdr:row>
      <xdr:rowOff>114300</xdr:rowOff>
    </xdr:to>
    <xdr:sp macro="" textlink="">
      <xdr:nvSpPr>
        <xdr:cNvPr id="5043" name="Arrow: Down 5042">
          <a:extLst>
            <a:ext uri="{FF2B5EF4-FFF2-40B4-BE49-F238E27FC236}">
              <a16:creationId xmlns:a16="http://schemas.microsoft.com/office/drawing/2014/main" id="{3576B0DA-4E25-4450-873B-360D4188E57C}"/>
            </a:ext>
          </a:extLst>
        </xdr:cNvPr>
        <xdr:cNvSpPr/>
      </xdr:nvSpPr>
      <xdr:spPr>
        <a:xfrm rot="10800000">
          <a:off x="192786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692</xdr:row>
      <xdr:rowOff>0</xdr:rowOff>
    </xdr:from>
    <xdr:to>
      <xdr:col>11</xdr:col>
      <xdr:colOff>83820</xdr:colOff>
      <xdr:row>692</xdr:row>
      <xdr:rowOff>114300</xdr:rowOff>
    </xdr:to>
    <xdr:sp macro="" textlink="">
      <xdr:nvSpPr>
        <xdr:cNvPr id="5044" name="Arrow: Down 5043">
          <a:extLst>
            <a:ext uri="{FF2B5EF4-FFF2-40B4-BE49-F238E27FC236}">
              <a16:creationId xmlns:a16="http://schemas.microsoft.com/office/drawing/2014/main" id="{6A4DA719-1C02-489A-B55B-5ABC841899B5}"/>
            </a:ext>
          </a:extLst>
        </xdr:cNvPr>
        <xdr:cNvSpPr/>
      </xdr:nvSpPr>
      <xdr:spPr>
        <a:xfrm rot="10800000">
          <a:off x="369570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692</xdr:row>
      <xdr:rowOff>0</xdr:rowOff>
    </xdr:from>
    <xdr:to>
      <xdr:col>24</xdr:col>
      <xdr:colOff>83820</xdr:colOff>
      <xdr:row>692</xdr:row>
      <xdr:rowOff>114300</xdr:rowOff>
    </xdr:to>
    <xdr:sp macro="" textlink="">
      <xdr:nvSpPr>
        <xdr:cNvPr id="5045" name="Arrow: Down 5044">
          <a:extLst>
            <a:ext uri="{FF2B5EF4-FFF2-40B4-BE49-F238E27FC236}">
              <a16:creationId xmlns:a16="http://schemas.microsoft.com/office/drawing/2014/main" id="{B6325271-98E8-4D03-B4F7-49BD10AAB40B}"/>
            </a:ext>
          </a:extLst>
        </xdr:cNvPr>
        <xdr:cNvSpPr/>
      </xdr:nvSpPr>
      <xdr:spPr>
        <a:xfrm rot="10800000">
          <a:off x="833628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692</xdr:row>
      <xdr:rowOff>0</xdr:rowOff>
    </xdr:from>
    <xdr:to>
      <xdr:col>45</xdr:col>
      <xdr:colOff>83820</xdr:colOff>
      <xdr:row>692</xdr:row>
      <xdr:rowOff>114300</xdr:rowOff>
    </xdr:to>
    <xdr:sp macro="" textlink="">
      <xdr:nvSpPr>
        <xdr:cNvPr id="5046" name="Arrow: Down 5045">
          <a:extLst>
            <a:ext uri="{FF2B5EF4-FFF2-40B4-BE49-F238E27FC236}">
              <a16:creationId xmlns:a16="http://schemas.microsoft.com/office/drawing/2014/main" id="{1E3D6A52-DB0D-4056-9AF1-FA49655483AB}"/>
            </a:ext>
          </a:extLst>
        </xdr:cNvPr>
        <xdr:cNvSpPr/>
      </xdr:nvSpPr>
      <xdr:spPr>
        <a:xfrm rot="10800000">
          <a:off x="1340358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692</xdr:row>
      <xdr:rowOff>0</xdr:rowOff>
    </xdr:from>
    <xdr:to>
      <xdr:col>39</xdr:col>
      <xdr:colOff>83820</xdr:colOff>
      <xdr:row>692</xdr:row>
      <xdr:rowOff>114300</xdr:rowOff>
    </xdr:to>
    <xdr:sp macro="" textlink="">
      <xdr:nvSpPr>
        <xdr:cNvPr id="5055" name="Arrow: Down 5054">
          <a:extLst>
            <a:ext uri="{FF2B5EF4-FFF2-40B4-BE49-F238E27FC236}">
              <a16:creationId xmlns:a16="http://schemas.microsoft.com/office/drawing/2014/main" id="{BFDCE1B4-1257-4FAD-BEB1-318BFD8017EB}"/>
            </a:ext>
          </a:extLst>
        </xdr:cNvPr>
        <xdr:cNvSpPr/>
      </xdr:nvSpPr>
      <xdr:spPr>
        <a:xfrm rot="10800000">
          <a:off x="1154430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692</xdr:row>
      <xdr:rowOff>0</xdr:rowOff>
    </xdr:from>
    <xdr:to>
      <xdr:col>71</xdr:col>
      <xdr:colOff>83820</xdr:colOff>
      <xdr:row>692</xdr:row>
      <xdr:rowOff>114300</xdr:rowOff>
    </xdr:to>
    <xdr:sp macro="" textlink="">
      <xdr:nvSpPr>
        <xdr:cNvPr id="5059" name="Arrow: Down 5058">
          <a:extLst>
            <a:ext uri="{FF2B5EF4-FFF2-40B4-BE49-F238E27FC236}">
              <a16:creationId xmlns:a16="http://schemas.microsoft.com/office/drawing/2014/main" id="{AF6DE111-A6BD-4B2B-9F64-650AC7475E81}"/>
            </a:ext>
          </a:extLst>
        </xdr:cNvPr>
        <xdr:cNvSpPr/>
      </xdr:nvSpPr>
      <xdr:spPr>
        <a:xfrm>
          <a:off x="21960840" y="1266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693</xdr:row>
      <xdr:rowOff>0</xdr:rowOff>
    </xdr:from>
    <xdr:to>
      <xdr:col>5</xdr:col>
      <xdr:colOff>83820</xdr:colOff>
      <xdr:row>693</xdr:row>
      <xdr:rowOff>114300</xdr:rowOff>
    </xdr:to>
    <xdr:sp macro="" textlink="">
      <xdr:nvSpPr>
        <xdr:cNvPr id="5061" name="Arrow: Down 5060">
          <a:extLst>
            <a:ext uri="{FF2B5EF4-FFF2-40B4-BE49-F238E27FC236}">
              <a16:creationId xmlns:a16="http://schemas.microsoft.com/office/drawing/2014/main" id="{CAEE738E-7E57-4CBA-8CDA-14232461A785}"/>
            </a:ext>
          </a:extLst>
        </xdr:cNvPr>
        <xdr:cNvSpPr/>
      </xdr:nvSpPr>
      <xdr:spPr>
        <a:xfrm rot="10800000">
          <a:off x="1927860" y="1266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693</xdr:row>
      <xdr:rowOff>0</xdr:rowOff>
    </xdr:from>
    <xdr:to>
      <xdr:col>45</xdr:col>
      <xdr:colOff>83820</xdr:colOff>
      <xdr:row>693</xdr:row>
      <xdr:rowOff>114300</xdr:rowOff>
    </xdr:to>
    <xdr:sp macro="" textlink="">
      <xdr:nvSpPr>
        <xdr:cNvPr id="5074" name="Arrow: Down 5073">
          <a:extLst>
            <a:ext uri="{FF2B5EF4-FFF2-40B4-BE49-F238E27FC236}">
              <a16:creationId xmlns:a16="http://schemas.microsoft.com/office/drawing/2014/main" id="{C857C201-40C6-4F00-A805-536F48BC821E}"/>
            </a:ext>
          </a:extLst>
        </xdr:cNvPr>
        <xdr:cNvSpPr/>
      </xdr:nvSpPr>
      <xdr:spPr>
        <a:xfrm rot="10800000">
          <a:off x="13403580" y="126652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693</xdr:row>
      <xdr:rowOff>0</xdr:rowOff>
    </xdr:from>
    <xdr:to>
      <xdr:col>39</xdr:col>
      <xdr:colOff>83820</xdr:colOff>
      <xdr:row>693</xdr:row>
      <xdr:rowOff>114300</xdr:rowOff>
    </xdr:to>
    <xdr:sp macro="" textlink="">
      <xdr:nvSpPr>
        <xdr:cNvPr id="5075" name="Arrow: Down 5074">
          <a:extLst>
            <a:ext uri="{FF2B5EF4-FFF2-40B4-BE49-F238E27FC236}">
              <a16:creationId xmlns:a16="http://schemas.microsoft.com/office/drawing/2014/main" id="{1F886B0F-488B-45DD-B944-2C2B2A9A7FD0}"/>
            </a:ext>
          </a:extLst>
        </xdr:cNvPr>
        <xdr:cNvSpPr/>
      </xdr:nvSpPr>
      <xdr:spPr>
        <a:xfrm rot="10800000">
          <a:off x="11544300" y="126652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693</xdr:row>
      <xdr:rowOff>0</xdr:rowOff>
    </xdr:from>
    <xdr:to>
      <xdr:col>11</xdr:col>
      <xdr:colOff>83820</xdr:colOff>
      <xdr:row>693</xdr:row>
      <xdr:rowOff>114300</xdr:rowOff>
    </xdr:to>
    <xdr:sp macro="" textlink="">
      <xdr:nvSpPr>
        <xdr:cNvPr id="5078" name="Arrow: Down 5077">
          <a:extLst>
            <a:ext uri="{FF2B5EF4-FFF2-40B4-BE49-F238E27FC236}">
              <a16:creationId xmlns:a16="http://schemas.microsoft.com/office/drawing/2014/main" id="{025F8E84-F9B1-4FF2-A200-9C7B423F8AA4}"/>
            </a:ext>
          </a:extLst>
        </xdr:cNvPr>
        <xdr:cNvSpPr/>
      </xdr:nvSpPr>
      <xdr:spPr>
        <a:xfrm>
          <a:off x="369570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693</xdr:row>
      <xdr:rowOff>0</xdr:rowOff>
    </xdr:from>
    <xdr:to>
      <xdr:col>24</xdr:col>
      <xdr:colOff>83820</xdr:colOff>
      <xdr:row>693</xdr:row>
      <xdr:rowOff>114300</xdr:rowOff>
    </xdr:to>
    <xdr:sp macro="" textlink="">
      <xdr:nvSpPr>
        <xdr:cNvPr id="5088" name="Arrow: Down 5087">
          <a:extLst>
            <a:ext uri="{FF2B5EF4-FFF2-40B4-BE49-F238E27FC236}">
              <a16:creationId xmlns:a16="http://schemas.microsoft.com/office/drawing/2014/main" id="{116BFEB0-6C87-4D4B-B314-4CD49975B643}"/>
            </a:ext>
          </a:extLst>
        </xdr:cNvPr>
        <xdr:cNvSpPr/>
      </xdr:nvSpPr>
      <xdr:spPr>
        <a:xfrm>
          <a:off x="833628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693</xdr:row>
      <xdr:rowOff>0</xdr:rowOff>
    </xdr:from>
    <xdr:to>
      <xdr:col>60</xdr:col>
      <xdr:colOff>83820</xdr:colOff>
      <xdr:row>693</xdr:row>
      <xdr:rowOff>114300</xdr:rowOff>
    </xdr:to>
    <xdr:sp macro="" textlink="">
      <xdr:nvSpPr>
        <xdr:cNvPr id="5092" name="Arrow: Down 5091">
          <a:extLst>
            <a:ext uri="{FF2B5EF4-FFF2-40B4-BE49-F238E27FC236}">
              <a16:creationId xmlns:a16="http://schemas.microsoft.com/office/drawing/2014/main" id="{EDF86092-69A8-4FE5-BCF6-016B55049DBD}"/>
            </a:ext>
          </a:extLst>
        </xdr:cNvPr>
        <xdr:cNvSpPr/>
      </xdr:nvSpPr>
      <xdr:spPr>
        <a:xfrm rot="10800000">
          <a:off x="1908048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693</xdr:row>
      <xdr:rowOff>0</xdr:rowOff>
    </xdr:from>
    <xdr:to>
      <xdr:col>71</xdr:col>
      <xdr:colOff>83820</xdr:colOff>
      <xdr:row>693</xdr:row>
      <xdr:rowOff>114300</xdr:rowOff>
    </xdr:to>
    <xdr:sp macro="" textlink="">
      <xdr:nvSpPr>
        <xdr:cNvPr id="5094" name="Arrow: Down 5093">
          <a:extLst>
            <a:ext uri="{FF2B5EF4-FFF2-40B4-BE49-F238E27FC236}">
              <a16:creationId xmlns:a16="http://schemas.microsoft.com/office/drawing/2014/main" id="{4FC5CCE6-B432-49F7-9AB8-8189C78F5FDE}"/>
            </a:ext>
          </a:extLst>
        </xdr:cNvPr>
        <xdr:cNvSpPr/>
      </xdr:nvSpPr>
      <xdr:spPr>
        <a:xfrm rot="10800000">
          <a:off x="2196084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694</xdr:row>
      <xdr:rowOff>0</xdr:rowOff>
    </xdr:from>
    <xdr:to>
      <xdr:col>45</xdr:col>
      <xdr:colOff>83820</xdr:colOff>
      <xdr:row>694</xdr:row>
      <xdr:rowOff>114300</xdr:rowOff>
    </xdr:to>
    <xdr:sp macro="" textlink="">
      <xdr:nvSpPr>
        <xdr:cNvPr id="5121" name="Arrow: Down 5120">
          <a:extLst>
            <a:ext uri="{FF2B5EF4-FFF2-40B4-BE49-F238E27FC236}">
              <a16:creationId xmlns:a16="http://schemas.microsoft.com/office/drawing/2014/main" id="{25043B8A-FAC4-47D7-B353-76F4691D8C8D}"/>
            </a:ext>
          </a:extLst>
        </xdr:cNvPr>
        <xdr:cNvSpPr/>
      </xdr:nvSpPr>
      <xdr:spPr>
        <a:xfrm rot="10800000">
          <a:off x="13403580" y="126834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694</xdr:row>
      <xdr:rowOff>0</xdr:rowOff>
    </xdr:from>
    <xdr:to>
      <xdr:col>11</xdr:col>
      <xdr:colOff>83820</xdr:colOff>
      <xdr:row>694</xdr:row>
      <xdr:rowOff>114300</xdr:rowOff>
    </xdr:to>
    <xdr:sp macro="" textlink="">
      <xdr:nvSpPr>
        <xdr:cNvPr id="5127" name="Arrow: Down 5126">
          <a:extLst>
            <a:ext uri="{FF2B5EF4-FFF2-40B4-BE49-F238E27FC236}">
              <a16:creationId xmlns:a16="http://schemas.microsoft.com/office/drawing/2014/main" id="{1691A7B4-BD87-48FE-82D4-F98DD7DE01CB}"/>
            </a:ext>
          </a:extLst>
        </xdr:cNvPr>
        <xdr:cNvSpPr/>
      </xdr:nvSpPr>
      <xdr:spPr>
        <a:xfrm>
          <a:off x="369570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694</xdr:row>
      <xdr:rowOff>0</xdr:rowOff>
    </xdr:from>
    <xdr:to>
      <xdr:col>24</xdr:col>
      <xdr:colOff>83820</xdr:colOff>
      <xdr:row>694</xdr:row>
      <xdr:rowOff>114300</xdr:rowOff>
    </xdr:to>
    <xdr:sp macro="" textlink="">
      <xdr:nvSpPr>
        <xdr:cNvPr id="5130" name="Arrow: Down 5129">
          <a:extLst>
            <a:ext uri="{FF2B5EF4-FFF2-40B4-BE49-F238E27FC236}">
              <a16:creationId xmlns:a16="http://schemas.microsoft.com/office/drawing/2014/main" id="{BBAE8B3B-0614-4703-806D-5B24070998A2}"/>
            </a:ext>
          </a:extLst>
        </xdr:cNvPr>
        <xdr:cNvSpPr/>
      </xdr:nvSpPr>
      <xdr:spPr>
        <a:xfrm>
          <a:off x="833628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694</xdr:row>
      <xdr:rowOff>0</xdr:rowOff>
    </xdr:from>
    <xdr:to>
      <xdr:col>60</xdr:col>
      <xdr:colOff>83820</xdr:colOff>
      <xdr:row>694</xdr:row>
      <xdr:rowOff>114300</xdr:rowOff>
    </xdr:to>
    <xdr:sp macro="" textlink="">
      <xdr:nvSpPr>
        <xdr:cNvPr id="5135" name="Arrow: Down 5134">
          <a:extLst>
            <a:ext uri="{FF2B5EF4-FFF2-40B4-BE49-F238E27FC236}">
              <a16:creationId xmlns:a16="http://schemas.microsoft.com/office/drawing/2014/main" id="{BC29CE34-9B2E-4DC9-AB5D-CCA5BC577D3D}"/>
            </a:ext>
          </a:extLst>
        </xdr:cNvPr>
        <xdr:cNvSpPr/>
      </xdr:nvSpPr>
      <xdr:spPr>
        <a:xfrm rot="10800000">
          <a:off x="1908048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694</xdr:row>
      <xdr:rowOff>0</xdr:rowOff>
    </xdr:from>
    <xdr:to>
      <xdr:col>71</xdr:col>
      <xdr:colOff>83820</xdr:colOff>
      <xdr:row>694</xdr:row>
      <xdr:rowOff>114300</xdr:rowOff>
    </xdr:to>
    <xdr:sp macro="" textlink="">
      <xdr:nvSpPr>
        <xdr:cNvPr id="5136" name="Arrow: Down 5135">
          <a:extLst>
            <a:ext uri="{FF2B5EF4-FFF2-40B4-BE49-F238E27FC236}">
              <a16:creationId xmlns:a16="http://schemas.microsoft.com/office/drawing/2014/main" id="{4AA5179A-8513-487E-BF79-00986CA5D158}"/>
            </a:ext>
          </a:extLst>
        </xdr:cNvPr>
        <xdr:cNvSpPr/>
      </xdr:nvSpPr>
      <xdr:spPr>
        <a:xfrm rot="10800000">
          <a:off x="2196084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694</xdr:row>
      <xdr:rowOff>0</xdr:rowOff>
    </xdr:from>
    <xdr:to>
      <xdr:col>5</xdr:col>
      <xdr:colOff>83820</xdr:colOff>
      <xdr:row>694</xdr:row>
      <xdr:rowOff>114300</xdr:rowOff>
    </xdr:to>
    <xdr:sp macro="" textlink="">
      <xdr:nvSpPr>
        <xdr:cNvPr id="5137" name="Arrow: Down 5136">
          <a:extLst>
            <a:ext uri="{FF2B5EF4-FFF2-40B4-BE49-F238E27FC236}">
              <a16:creationId xmlns:a16="http://schemas.microsoft.com/office/drawing/2014/main" id="{AB719CCC-D313-4A2D-97F1-08400C0C8344}"/>
            </a:ext>
          </a:extLst>
        </xdr:cNvPr>
        <xdr:cNvSpPr/>
      </xdr:nvSpPr>
      <xdr:spPr>
        <a:xfrm>
          <a:off x="1927860" y="1270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694</xdr:row>
      <xdr:rowOff>0</xdr:rowOff>
    </xdr:from>
    <xdr:to>
      <xdr:col>39</xdr:col>
      <xdr:colOff>83820</xdr:colOff>
      <xdr:row>694</xdr:row>
      <xdr:rowOff>114300</xdr:rowOff>
    </xdr:to>
    <xdr:sp macro="" textlink="">
      <xdr:nvSpPr>
        <xdr:cNvPr id="5138" name="Arrow: Down 5137">
          <a:extLst>
            <a:ext uri="{FF2B5EF4-FFF2-40B4-BE49-F238E27FC236}">
              <a16:creationId xmlns:a16="http://schemas.microsoft.com/office/drawing/2014/main" id="{E3FBC0C1-270D-4C17-BA64-B54930396C42}"/>
            </a:ext>
          </a:extLst>
        </xdr:cNvPr>
        <xdr:cNvSpPr/>
      </xdr:nvSpPr>
      <xdr:spPr>
        <a:xfrm>
          <a:off x="11544300" y="1270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695</xdr:row>
      <xdr:rowOff>0</xdr:rowOff>
    </xdr:from>
    <xdr:to>
      <xdr:col>45</xdr:col>
      <xdr:colOff>83820</xdr:colOff>
      <xdr:row>695</xdr:row>
      <xdr:rowOff>114300</xdr:rowOff>
    </xdr:to>
    <xdr:sp macro="" textlink="">
      <xdr:nvSpPr>
        <xdr:cNvPr id="5156" name="Arrow: Down 5155">
          <a:extLst>
            <a:ext uri="{FF2B5EF4-FFF2-40B4-BE49-F238E27FC236}">
              <a16:creationId xmlns:a16="http://schemas.microsoft.com/office/drawing/2014/main" id="{1B10AEAC-1934-4C75-A03C-CC8BBDE8E117}"/>
            </a:ext>
          </a:extLst>
        </xdr:cNvPr>
        <xdr:cNvSpPr/>
      </xdr:nvSpPr>
      <xdr:spPr>
        <a:xfrm rot="10800000">
          <a:off x="13403580" y="12701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695</xdr:row>
      <xdr:rowOff>0</xdr:rowOff>
    </xdr:from>
    <xdr:to>
      <xdr:col>71</xdr:col>
      <xdr:colOff>83820</xdr:colOff>
      <xdr:row>695</xdr:row>
      <xdr:rowOff>114300</xdr:rowOff>
    </xdr:to>
    <xdr:sp macro="" textlink="">
      <xdr:nvSpPr>
        <xdr:cNvPr id="5165" name="Arrow: Down 5164">
          <a:extLst>
            <a:ext uri="{FF2B5EF4-FFF2-40B4-BE49-F238E27FC236}">
              <a16:creationId xmlns:a16="http://schemas.microsoft.com/office/drawing/2014/main" id="{A9D30327-2C72-48AA-BBE3-5B8171389668}"/>
            </a:ext>
          </a:extLst>
        </xdr:cNvPr>
        <xdr:cNvSpPr/>
      </xdr:nvSpPr>
      <xdr:spPr>
        <a:xfrm rot="10800000">
          <a:off x="21960840" y="1270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695</xdr:row>
      <xdr:rowOff>0</xdr:rowOff>
    </xdr:from>
    <xdr:to>
      <xdr:col>60</xdr:col>
      <xdr:colOff>83820</xdr:colOff>
      <xdr:row>695</xdr:row>
      <xdr:rowOff>114300</xdr:rowOff>
    </xdr:to>
    <xdr:sp macro="" textlink="">
      <xdr:nvSpPr>
        <xdr:cNvPr id="5184" name="Arrow: Down 5183">
          <a:extLst>
            <a:ext uri="{FF2B5EF4-FFF2-40B4-BE49-F238E27FC236}">
              <a16:creationId xmlns:a16="http://schemas.microsoft.com/office/drawing/2014/main" id="{B3024167-33A4-4247-86D7-4FC06D8013E5}"/>
            </a:ext>
          </a:extLst>
        </xdr:cNvPr>
        <xdr:cNvSpPr/>
      </xdr:nvSpPr>
      <xdr:spPr>
        <a:xfrm>
          <a:off x="19080480" y="1272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695</xdr:row>
      <xdr:rowOff>0</xdr:rowOff>
    </xdr:from>
    <xdr:to>
      <xdr:col>5</xdr:col>
      <xdr:colOff>83820</xdr:colOff>
      <xdr:row>695</xdr:row>
      <xdr:rowOff>114300</xdr:rowOff>
    </xdr:to>
    <xdr:sp macro="" textlink="">
      <xdr:nvSpPr>
        <xdr:cNvPr id="5189" name="Arrow: Down 5188">
          <a:extLst>
            <a:ext uri="{FF2B5EF4-FFF2-40B4-BE49-F238E27FC236}">
              <a16:creationId xmlns:a16="http://schemas.microsoft.com/office/drawing/2014/main" id="{7D68F55B-9377-4428-BCFD-ED970924538B}"/>
            </a:ext>
          </a:extLst>
        </xdr:cNvPr>
        <xdr:cNvSpPr/>
      </xdr:nvSpPr>
      <xdr:spPr>
        <a:xfrm rot="10800000">
          <a:off x="192786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695</xdr:row>
      <xdr:rowOff>0</xdr:rowOff>
    </xdr:from>
    <xdr:to>
      <xdr:col>11</xdr:col>
      <xdr:colOff>83820</xdr:colOff>
      <xdr:row>695</xdr:row>
      <xdr:rowOff>114300</xdr:rowOff>
    </xdr:to>
    <xdr:sp macro="" textlink="">
      <xdr:nvSpPr>
        <xdr:cNvPr id="5194" name="Arrow: Down 5193">
          <a:extLst>
            <a:ext uri="{FF2B5EF4-FFF2-40B4-BE49-F238E27FC236}">
              <a16:creationId xmlns:a16="http://schemas.microsoft.com/office/drawing/2014/main" id="{177C9B7F-6F06-412B-AC64-4AAD6E7C04C3}"/>
            </a:ext>
          </a:extLst>
        </xdr:cNvPr>
        <xdr:cNvSpPr/>
      </xdr:nvSpPr>
      <xdr:spPr>
        <a:xfrm rot="10800000">
          <a:off x="369570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695</xdr:row>
      <xdr:rowOff>0</xdr:rowOff>
    </xdr:from>
    <xdr:to>
      <xdr:col>24</xdr:col>
      <xdr:colOff>83820</xdr:colOff>
      <xdr:row>695</xdr:row>
      <xdr:rowOff>114300</xdr:rowOff>
    </xdr:to>
    <xdr:sp macro="" textlink="">
      <xdr:nvSpPr>
        <xdr:cNvPr id="5196" name="Arrow: Down 5195">
          <a:extLst>
            <a:ext uri="{FF2B5EF4-FFF2-40B4-BE49-F238E27FC236}">
              <a16:creationId xmlns:a16="http://schemas.microsoft.com/office/drawing/2014/main" id="{07FBF88C-843A-4470-A94C-FFA04FE03F1F}"/>
            </a:ext>
          </a:extLst>
        </xdr:cNvPr>
        <xdr:cNvSpPr/>
      </xdr:nvSpPr>
      <xdr:spPr>
        <a:xfrm rot="10800000">
          <a:off x="833628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695</xdr:row>
      <xdr:rowOff>0</xdr:rowOff>
    </xdr:from>
    <xdr:to>
      <xdr:col>39</xdr:col>
      <xdr:colOff>83820</xdr:colOff>
      <xdr:row>695</xdr:row>
      <xdr:rowOff>114300</xdr:rowOff>
    </xdr:to>
    <xdr:sp macro="" textlink="">
      <xdr:nvSpPr>
        <xdr:cNvPr id="5198" name="Arrow: Down 5197">
          <a:extLst>
            <a:ext uri="{FF2B5EF4-FFF2-40B4-BE49-F238E27FC236}">
              <a16:creationId xmlns:a16="http://schemas.microsoft.com/office/drawing/2014/main" id="{F7194E5D-289B-493C-A477-E40D6C879B38}"/>
            </a:ext>
          </a:extLst>
        </xdr:cNvPr>
        <xdr:cNvSpPr/>
      </xdr:nvSpPr>
      <xdr:spPr>
        <a:xfrm rot="10800000">
          <a:off x="11544300" y="12720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696</xdr:row>
      <xdr:rowOff>0</xdr:rowOff>
    </xdr:from>
    <xdr:to>
      <xdr:col>45</xdr:col>
      <xdr:colOff>83820</xdr:colOff>
      <xdr:row>696</xdr:row>
      <xdr:rowOff>114300</xdr:rowOff>
    </xdr:to>
    <xdr:sp macro="" textlink="">
      <xdr:nvSpPr>
        <xdr:cNvPr id="5216" name="Arrow: Down 5215">
          <a:extLst>
            <a:ext uri="{FF2B5EF4-FFF2-40B4-BE49-F238E27FC236}">
              <a16:creationId xmlns:a16="http://schemas.microsoft.com/office/drawing/2014/main" id="{3391FB6A-23B1-412D-9CDF-D1849DBCCFE4}"/>
            </a:ext>
          </a:extLst>
        </xdr:cNvPr>
        <xdr:cNvSpPr/>
      </xdr:nvSpPr>
      <xdr:spPr>
        <a:xfrm rot="10800000">
          <a:off x="13403580" y="12720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696</xdr:row>
      <xdr:rowOff>0</xdr:rowOff>
    </xdr:from>
    <xdr:to>
      <xdr:col>71</xdr:col>
      <xdr:colOff>83820</xdr:colOff>
      <xdr:row>696</xdr:row>
      <xdr:rowOff>114300</xdr:rowOff>
    </xdr:to>
    <xdr:sp macro="" textlink="">
      <xdr:nvSpPr>
        <xdr:cNvPr id="5219" name="Arrow: Down 5218">
          <a:extLst>
            <a:ext uri="{FF2B5EF4-FFF2-40B4-BE49-F238E27FC236}">
              <a16:creationId xmlns:a16="http://schemas.microsoft.com/office/drawing/2014/main" id="{BECA408E-C3C5-4E0E-8F38-06492E29C350}"/>
            </a:ext>
          </a:extLst>
        </xdr:cNvPr>
        <xdr:cNvSpPr/>
      </xdr:nvSpPr>
      <xdr:spPr>
        <a:xfrm rot="10800000">
          <a:off x="2196084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696</xdr:row>
      <xdr:rowOff>0</xdr:rowOff>
    </xdr:from>
    <xdr:to>
      <xdr:col>60</xdr:col>
      <xdr:colOff>83820</xdr:colOff>
      <xdr:row>696</xdr:row>
      <xdr:rowOff>114300</xdr:rowOff>
    </xdr:to>
    <xdr:sp macro="" textlink="">
      <xdr:nvSpPr>
        <xdr:cNvPr id="5237" name="Arrow: Down 5236">
          <a:extLst>
            <a:ext uri="{FF2B5EF4-FFF2-40B4-BE49-F238E27FC236}">
              <a16:creationId xmlns:a16="http://schemas.microsoft.com/office/drawing/2014/main" id="{7244657E-A0DF-4C65-967B-6F94D2EC2307}"/>
            </a:ext>
          </a:extLst>
        </xdr:cNvPr>
        <xdr:cNvSpPr/>
      </xdr:nvSpPr>
      <xdr:spPr>
        <a:xfrm rot="10800000">
          <a:off x="1908048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696</xdr:row>
      <xdr:rowOff>0</xdr:rowOff>
    </xdr:from>
    <xdr:to>
      <xdr:col>39</xdr:col>
      <xdr:colOff>83820</xdr:colOff>
      <xdr:row>696</xdr:row>
      <xdr:rowOff>114300</xdr:rowOff>
    </xdr:to>
    <xdr:sp macro="" textlink="">
      <xdr:nvSpPr>
        <xdr:cNvPr id="5239" name="Arrow: Down 5238">
          <a:extLst>
            <a:ext uri="{FF2B5EF4-FFF2-40B4-BE49-F238E27FC236}">
              <a16:creationId xmlns:a16="http://schemas.microsoft.com/office/drawing/2014/main" id="{56A9CDBB-B948-4B7E-8881-BF28CF6FC559}"/>
            </a:ext>
          </a:extLst>
        </xdr:cNvPr>
        <xdr:cNvSpPr/>
      </xdr:nvSpPr>
      <xdr:spPr>
        <a:xfrm>
          <a:off x="1154430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697</xdr:row>
      <xdr:rowOff>0</xdr:rowOff>
    </xdr:from>
    <xdr:to>
      <xdr:col>45</xdr:col>
      <xdr:colOff>83820</xdr:colOff>
      <xdr:row>697</xdr:row>
      <xdr:rowOff>114300</xdr:rowOff>
    </xdr:to>
    <xdr:sp macro="" textlink="">
      <xdr:nvSpPr>
        <xdr:cNvPr id="5264" name="Arrow: Down 5263">
          <a:extLst>
            <a:ext uri="{FF2B5EF4-FFF2-40B4-BE49-F238E27FC236}">
              <a16:creationId xmlns:a16="http://schemas.microsoft.com/office/drawing/2014/main" id="{75FA2D37-15AE-4CA2-986A-6E6FDC79E98C}"/>
            </a:ext>
          </a:extLst>
        </xdr:cNvPr>
        <xdr:cNvSpPr/>
      </xdr:nvSpPr>
      <xdr:spPr>
        <a:xfrm rot="10800000">
          <a:off x="13403580" y="127383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697</xdr:row>
      <xdr:rowOff>0</xdr:rowOff>
    </xdr:from>
    <xdr:to>
      <xdr:col>71</xdr:col>
      <xdr:colOff>83820</xdr:colOff>
      <xdr:row>697</xdr:row>
      <xdr:rowOff>114300</xdr:rowOff>
    </xdr:to>
    <xdr:sp macro="" textlink="">
      <xdr:nvSpPr>
        <xdr:cNvPr id="5266" name="Arrow: Down 5265">
          <a:extLst>
            <a:ext uri="{FF2B5EF4-FFF2-40B4-BE49-F238E27FC236}">
              <a16:creationId xmlns:a16="http://schemas.microsoft.com/office/drawing/2014/main" id="{DF09D4A7-0196-49E0-9E7E-6620D8E95213}"/>
            </a:ext>
          </a:extLst>
        </xdr:cNvPr>
        <xdr:cNvSpPr/>
      </xdr:nvSpPr>
      <xdr:spPr>
        <a:xfrm rot="10800000">
          <a:off x="2196084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697</xdr:row>
      <xdr:rowOff>0</xdr:rowOff>
    </xdr:from>
    <xdr:to>
      <xdr:col>39</xdr:col>
      <xdr:colOff>83820</xdr:colOff>
      <xdr:row>697</xdr:row>
      <xdr:rowOff>114300</xdr:rowOff>
    </xdr:to>
    <xdr:sp macro="" textlink="">
      <xdr:nvSpPr>
        <xdr:cNvPr id="5272" name="Arrow: Down 5271">
          <a:extLst>
            <a:ext uri="{FF2B5EF4-FFF2-40B4-BE49-F238E27FC236}">
              <a16:creationId xmlns:a16="http://schemas.microsoft.com/office/drawing/2014/main" id="{B8AAACE7-3BDC-4930-A115-106CAE4ED814}"/>
            </a:ext>
          </a:extLst>
        </xdr:cNvPr>
        <xdr:cNvSpPr/>
      </xdr:nvSpPr>
      <xdr:spPr>
        <a:xfrm>
          <a:off x="1154430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697</xdr:row>
      <xdr:rowOff>0</xdr:rowOff>
    </xdr:from>
    <xdr:to>
      <xdr:col>60</xdr:col>
      <xdr:colOff>83820</xdr:colOff>
      <xdr:row>697</xdr:row>
      <xdr:rowOff>114300</xdr:rowOff>
    </xdr:to>
    <xdr:sp macro="" textlink="">
      <xdr:nvSpPr>
        <xdr:cNvPr id="5281" name="Arrow: Down 5280">
          <a:extLst>
            <a:ext uri="{FF2B5EF4-FFF2-40B4-BE49-F238E27FC236}">
              <a16:creationId xmlns:a16="http://schemas.microsoft.com/office/drawing/2014/main" id="{5A9323E5-25EE-40AC-BA28-843E879C4786}"/>
            </a:ext>
          </a:extLst>
        </xdr:cNvPr>
        <xdr:cNvSpPr/>
      </xdr:nvSpPr>
      <xdr:spPr>
        <a:xfrm>
          <a:off x="190804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696</xdr:row>
      <xdr:rowOff>0</xdr:rowOff>
    </xdr:from>
    <xdr:to>
      <xdr:col>11</xdr:col>
      <xdr:colOff>83820</xdr:colOff>
      <xdr:row>696</xdr:row>
      <xdr:rowOff>114300</xdr:rowOff>
    </xdr:to>
    <xdr:sp macro="" textlink="">
      <xdr:nvSpPr>
        <xdr:cNvPr id="5290" name="Arrow: Down 5289">
          <a:extLst>
            <a:ext uri="{FF2B5EF4-FFF2-40B4-BE49-F238E27FC236}">
              <a16:creationId xmlns:a16="http://schemas.microsoft.com/office/drawing/2014/main" id="{91CCA32E-486D-42ED-A24B-580D6F916410}"/>
            </a:ext>
          </a:extLst>
        </xdr:cNvPr>
        <xdr:cNvSpPr/>
      </xdr:nvSpPr>
      <xdr:spPr>
        <a:xfrm>
          <a:off x="369570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696</xdr:row>
      <xdr:rowOff>0</xdr:rowOff>
    </xdr:from>
    <xdr:to>
      <xdr:col>5</xdr:col>
      <xdr:colOff>83820</xdr:colOff>
      <xdr:row>696</xdr:row>
      <xdr:rowOff>114300</xdr:rowOff>
    </xdr:to>
    <xdr:sp macro="" textlink="">
      <xdr:nvSpPr>
        <xdr:cNvPr id="5292" name="Arrow: Down 5291">
          <a:extLst>
            <a:ext uri="{FF2B5EF4-FFF2-40B4-BE49-F238E27FC236}">
              <a16:creationId xmlns:a16="http://schemas.microsoft.com/office/drawing/2014/main" id="{88FAE7C9-C498-4D1B-94E8-D17D86493AA8}"/>
            </a:ext>
          </a:extLst>
        </xdr:cNvPr>
        <xdr:cNvSpPr/>
      </xdr:nvSpPr>
      <xdr:spPr>
        <a:xfrm>
          <a:off x="192786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697</xdr:row>
      <xdr:rowOff>0</xdr:rowOff>
    </xdr:from>
    <xdr:to>
      <xdr:col>5</xdr:col>
      <xdr:colOff>83820</xdr:colOff>
      <xdr:row>697</xdr:row>
      <xdr:rowOff>114300</xdr:rowOff>
    </xdr:to>
    <xdr:sp macro="" textlink="">
      <xdr:nvSpPr>
        <xdr:cNvPr id="5294" name="Arrow: Down 5293">
          <a:extLst>
            <a:ext uri="{FF2B5EF4-FFF2-40B4-BE49-F238E27FC236}">
              <a16:creationId xmlns:a16="http://schemas.microsoft.com/office/drawing/2014/main" id="{4242BD8E-28B8-4FF7-A7D5-B42372C6B815}"/>
            </a:ext>
          </a:extLst>
        </xdr:cNvPr>
        <xdr:cNvSpPr/>
      </xdr:nvSpPr>
      <xdr:spPr>
        <a:xfrm>
          <a:off x="192786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697</xdr:row>
      <xdr:rowOff>0</xdr:rowOff>
    </xdr:from>
    <xdr:to>
      <xdr:col>11</xdr:col>
      <xdr:colOff>83820</xdr:colOff>
      <xdr:row>697</xdr:row>
      <xdr:rowOff>114300</xdr:rowOff>
    </xdr:to>
    <xdr:sp macro="" textlink="">
      <xdr:nvSpPr>
        <xdr:cNvPr id="5296" name="Arrow: Down 5295">
          <a:extLst>
            <a:ext uri="{FF2B5EF4-FFF2-40B4-BE49-F238E27FC236}">
              <a16:creationId xmlns:a16="http://schemas.microsoft.com/office/drawing/2014/main" id="{021EB6C9-D34F-45A9-ADB9-3FDF1E3783D6}"/>
            </a:ext>
          </a:extLst>
        </xdr:cNvPr>
        <xdr:cNvSpPr/>
      </xdr:nvSpPr>
      <xdr:spPr>
        <a:xfrm>
          <a:off x="369570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696</xdr:row>
      <xdr:rowOff>0</xdr:rowOff>
    </xdr:from>
    <xdr:to>
      <xdr:col>24</xdr:col>
      <xdr:colOff>83820</xdr:colOff>
      <xdr:row>696</xdr:row>
      <xdr:rowOff>114300</xdr:rowOff>
    </xdr:to>
    <xdr:sp macro="" textlink="">
      <xdr:nvSpPr>
        <xdr:cNvPr id="5298" name="Arrow: Down 5297">
          <a:extLst>
            <a:ext uri="{FF2B5EF4-FFF2-40B4-BE49-F238E27FC236}">
              <a16:creationId xmlns:a16="http://schemas.microsoft.com/office/drawing/2014/main" id="{C7FD43B3-9226-435A-838F-86CE3C77FF30}"/>
            </a:ext>
          </a:extLst>
        </xdr:cNvPr>
        <xdr:cNvSpPr/>
      </xdr:nvSpPr>
      <xdr:spPr>
        <a:xfrm>
          <a:off x="833628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697</xdr:row>
      <xdr:rowOff>0</xdr:rowOff>
    </xdr:from>
    <xdr:to>
      <xdr:col>24</xdr:col>
      <xdr:colOff>83820</xdr:colOff>
      <xdr:row>697</xdr:row>
      <xdr:rowOff>114300</xdr:rowOff>
    </xdr:to>
    <xdr:sp macro="" textlink="">
      <xdr:nvSpPr>
        <xdr:cNvPr id="5300" name="Arrow: Down 5299">
          <a:extLst>
            <a:ext uri="{FF2B5EF4-FFF2-40B4-BE49-F238E27FC236}">
              <a16:creationId xmlns:a16="http://schemas.microsoft.com/office/drawing/2014/main" id="{2283087C-5D0D-42AF-BB04-9661FBC344D9}"/>
            </a:ext>
          </a:extLst>
        </xdr:cNvPr>
        <xdr:cNvSpPr/>
      </xdr:nvSpPr>
      <xdr:spPr>
        <a:xfrm>
          <a:off x="83362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698</xdr:row>
      <xdr:rowOff>0</xdr:rowOff>
    </xdr:from>
    <xdr:to>
      <xdr:col>45</xdr:col>
      <xdr:colOff>83820</xdr:colOff>
      <xdr:row>698</xdr:row>
      <xdr:rowOff>114300</xdr:rowOff>
    </xdr:to>
    <xdr:sp macro="" textlink="">
      <xdr:nvSpPr>
        <xdr:cNvPr id="4990" name="Arrow: Down 4989">
          <a:extLst>
            <a:ext uri="{FF2B5EF4-FFF2-40B4-BE49-F238E27FC236}">
              <a16:creationId xmlns:a16="http://schemas.microsoft.com/office/drawing/2014/main" id="{5CEC3D46-5C27-479B-97A0-60B1E6BECD89}"/>
            </a:ext>
          </a:extLst>
        </xdr:cNvPr>
        <xdr:cNvSpPr/>
      </xdr:nvSpPr>
      <xdr:spPr>
        <a:xfrm rot="10800000">
          <a:off x="13403580" y="1275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698</xdr:row>
      <xdr:rowOff>0</xdr:rowOff>
    </xdr:from>
    <xdr:to>
      <xdr:col>60</xdr:col>
      <xdr:colOff>83820</xdr:colOff>
      <xdr:row>698</xdr:row>
      <xdr:rowOff>114300</xdr:rowOff>
    </xdr:to>
    <xdr:sp macro="" textlink="">
      <xdr:nvSpPr>
        <xdr:cNvPr id="5003" name="Arrow: Down 5002">
          <a:extLst>
            <a:ext uri="{FF2B5EF4-FFF2-40B4-BE49-F238E27FC236}">
              <a16:creationId xmlns:a16="http://schemas.microsoft.com/office/drawing/2014/main" id="{4B866B2B-4D63-4D27-8AFE-624CDF1FFC03}"/>
            </a:ext>
          </a:extLst>
        </xdr:cNvPr>
        <xdr:cNvSpPr/>
      </xdr:nvSpPr>
      <xdr:spPr>
        <a:xfrm>
          <a:off x="190804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698</xdr:row>
      <xdr:rowOff>0</xdr:rowOff>
    </xdr:from>
    <xdr:to>
      <xdr:col>71</xdr:col>
      <xdr:colOff>83820</xdr:colOff>
      <xdr:row>698</xdr:row>
      <xdr:rowOff>114300</xdr:rowOff>
    </xdr:to>
    <xdr:sp macro="" textlink="">
      <xdr:nvSpPr>
        <xdr:cNvPr id="5031" name="Arrow: Down 5030">
          <a:extLst>
            <a:ext uri="{FF2B5EF4-FFF2-40B4-BE49-F238E27FC236}">
              <a16:creationId xmlns:a16="http://schemas.microsoft.com/office/drawing/2014/main" id="{A023AB8E-4881-4A80-933C-824B6CE95364}"/>
            </a:ext>
          </a:extLst>
        </xdr:cNvPr>
        <xdr:cNvSpPr/>
      </xdr:nvSpPr>
      <xdr:spPr>
        <a:xfrm>
          <a:off x="21960840" y="1277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698</xdr:row>
      <xdr:rowOff>0</xdr:rowOff>
    </xdr:from>
    <xdr:to>
      <xdr:col>39</xdr:col>
      <xdr:colOff>83820</xdr:colOff>
      <xdr:row>698</xdr:row>
      <xdr:rowOff>114300</xdr:rowOff>
    </xdr:to>
    <xdr:sp macro="" textlink="">
      <xdr:nvSpPr>
        <xdr:cNvPr id="5056" name="Arrow: Down 5055">
          <a:extLst>
            <a:ext uri="{FF2B5EF4-FFF2-40B4-BE49-F238E27FC236}">
              <a16:creationId xmlns:a16="http://schemas.microsoft.com/office/drawing/2014/main" id="{4DDF6761-43CB-4A83-ABC0-B23F728EC2D6}"/>
            </a:ext>
          </a:extLst>
        </xdr:cNvPr>
        <xdr:cNvSpPr/>
      </xdr:nvSpPr>
      <xdr:spPr>
        <a:xfrm rot="10800000">
          <a:off x="1154430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698</xdr:row>
      <xdr:rowOff>0</xdr:rowOff>
    </xdr:from>
    <xdr:to>
      <xdr:col>24</xdr:col>
      <xdr:colOff>83820</xdr:colOff>
      <xdr:row>698</xdr:row>
      <xdr:rowOff>114300</xdr:rowOff>
    </xdr:to>
    <xdr:sp macro="" textlink="">
      <xdr:nvSpPr>
        <xdr:cNvPr id="5060" name="Arrow: Down 5059">
          <a:extLst>
            <a:ext uri="{FF2B5EF4-FFF2-40B4-BE49-F238E27FC236}">
              <a16:creationId xmlns:a16="http://schemas.microsoft.com/office/drawing/2014/main" id="{1E211968-01E5-48D4-9BC8-FCE3A10E73F4}"/>
            </a:ext>
          </a:extLst>
        </xdr:cNvPr>
        <xdr:cNvSpPr/>
      </xdr:nvSpPr>
      <xdr:spPr>
        <a:xfrm rot="10800000">
          <a:off x="833628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698</xdr:row>
      <xdr:rowOff>0</xdr:rowOff>
    </xdr:from>
    <xdr:to>
      <xdr:col>11</xdr:col>
      <xdr:colOff>83820</xdr:colOff>
      <xdr:row>698</xdr:row>
      <xdr:rowOff>114300</xdr:rowOff>
    </xdr:to>
    <xdr:sp macro="" textlink="">
      <xdr:nvSpPr>
        <xdr:cNvPr id="5072" name="Arrow: Down 5071">
          <a:extLst>
            <a:ext uri="{FF2B5EF4-FFF2-40B4-BE49-F238E27FC236}">
              <a16:creationId xmlns:a16="http://schemas.microsoft.com/office/drawing/2014/main" id="{87E5D26C-F19C-4866-9454-AAF0ECFDB2C1}"/>
            </a:ext>
          </a:extLst>
        </xdr:cNvPr>
        <xdr:cNvSpPr/>
      </xdr:nvSpPr>
      <xdr:spPr>
        <a:xfrm rot="10800000">
          <a:off x="369570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698</xdr:row>
      <xdr:rowOff>0</xdr:rowOff>
    </xdr:from>
    <xdr:to>
      <xdr:col>5</xdr:col>
      <xdr:colOff>83820</xdr:colOff>
      <xdr:row>698</xdr:row>
      <xdr:rowOff>114300</xdr:rowOff>
    </xdr:to>
    <xdr:sp macro="" textlink="">
      <xdr:nvSpPr>
        <xdr:cNvPr id="5076" name="Arrow: Down 5075">
          <a:extLst>
            <a:ext uri="{FF2B5EF4-FFF2-40B4-BE49-F238E27FC236}">
              <a16:creationId xmlns:a16="http://schemas.microsoft.com/office/drawing/2014/main" id="{CDFEF3A8-E9CC-4F7F-BBC2-4611559A1FDF}"/>
            </a:ext>
          </a:extLst>
        </xdr:cNvPr>
        <xdr:cNvSpPr/>
      </xdr:nvSpPr>
      <xdr:spPr>
        <a:xfrm rot="10800000">
          <a:off x="192786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699</xdr:row>
      <xdr:rowOff>0</xdr:rowOff>
    </xdr:from>
    <xdr:to>
      <xdr:col>45</xdr:col>
      <xdr:colOff>83820</xdr:colOff>
      <xdr:row>699</xdr:row>
      <xdr:rowOff>114300</xdr:rowOff>
    </xdr:to>
    <xdr:sp macro="" textlink="">
      <xdr:nvSpPr>
        <xdr:cNvPr id="5115" name="Arrow: Down 5114">
          <a:extLst>
            <a:ext uri="{FF2B5EF4-FFF2-40B4-BE49-F238E27FC236}">
              <a16:creationId xmlns:a16="http://schemas.microsoft.com/office/drawing/2014/main" id="{E6A6EE76-D7BC-4D1E-BF5A-73DF973E400C}"/>
            </a:ext>
          </a:extLst>
        </xdr:cNvPr>
        <xdr:cNvSpPr/>
      </xdr:nvSpPr>
      <xdr:spPr>
        <a:xfrm rot="10800000">
          <a:off x="1340358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699</xdr:row>
      <xdr:rowOff>0</xdr:rowOff>
    </xdr:from>
    <xdr:to>
      <xdr:col>39</xdr:col>
      <xdr:colOff>83820</xdr:colOff>
      <xdr:row>699</xdr:row>
      <xdr:rowOff>114300</xdr:rowOff>
    </xdr:to>
    <xdr:sp macro="" textlink="">
      <xdr:nvSpPr>
        <xdr:cNvPr id="5120" name="Arrow: Down 5119">
          <a:extLst>
            <a:ext uri="{FF2B5EF4-FFF2-40B4-BE49-F238E27FC236}">
              <a16:creationId xmlns:a16="http://schemas.microsoft.com/office/drawing/2014/main" id="{920118B8-F449-4C76-880A-DC9F04D35494}"/>
            </a:ext>
          </a:extLst>
        </xdr:cNvPr>
        <xdr:cNvSpPr/>
      </xdr:nvSpPr>
      <xdr:spPr>
        <a:xfrm rot="10800000">
          <a:off x="1154430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699</xdr:row>
      <xdr:rowOff>0</xdr:rowOff>
    </xdr:from>
    <xdr:to>
      <xdr:col>24</xdr:col>
      <xdr:colOff>83820</xdr:colOff>
      <xdr:row>699</xdr:row>
      <xdr:rowOff>114300</xdr:rowOff>
    </xdr:to>
    <xdr:sp macro="" textlink="">
      <xdr:nvSpPr>
        <xdr:cNvPr id="5122" name="Arrow: Down 5121">
          <a:extLst>
            <a:ext uri="{FF2B5EF4-FFF2-40B4-BE49-F238E27FC236}">
              <a16:creationId xmlns:a16="http://schemas.microsoft.com/office/drawing/2014/main" id="{5480AFC8-A1E3-4315-87D1-7CC5CA860D6E}"/>
            </a:ext>
          </a:extLst>
        </xdr:cNvPr>
        <xdr:cNvSpPr/>
      </xdr:nvSpPr>
      <xdr:spPr>
        <a:xfrm rot="10800000">
          <a:off x="833628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699</xdr:row>
      <xdr:rowOff>0</xdr:rowOff>
    </xdr:from>
    <xdr:to>
      <xdr:col>11</xdr:col>
      <xdr:colOff>83820</xdr:colOff>
      <xdr:row>699</xdr:row>
      <xdr:rowOff>114300</xdr:rowOff>
    </xdr:to>
    <xdr:sp macro="" textlink="">
      <xdr:nvSpPr>
        <xdr:cNvPr id="5142" name="Arrow: Down 5141">
          <a:extLst>
            <a:ext uri="{FF2B5EF4-FFF2-40B4-BE49-F238E27FC236}">
              <a16:creationId xmlns:a16="http://schemas.microsoft.com/office/drawing/2014/main" id="{E7640329-9482-45A4-A596-FC596DD79B1D}"/>
            </a:ext>
          </a:extLst>
        </xdr:cNvPr>
        <xdr:cNvSpPr/>
      </xdr:nvSpPr>
      <xdr:spPr>
        <a:xfrm rot="10800000">
          <a:off x="369570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699</xdr:row>
      <xdr:rowOff>0</xdr:rowOff>
    </xdr:from>
    <xdr:to>
      <xdr:col>5</xdr:col>
      <xdr:colOff>83820</xdr:colOff>
      <xdr:row>699</xdr:row>
      <xdr:rowOff>114300</xdr:rowOff>
    </xdr:to>
    <xdr:sp macro="" textlink="">
      <xdr:nvSpPr>
        <xdr:cNvPr id="5143" name="Arrow: Down 5142">
          <a:extLst>
            <a:ext uri="{FF2B5EF4-FFF2-40B4-BE49-F238E27FC236}">
              <a16:creationId xmlns:a16="http://schemas.microsoft.com/office/drawing/2014/main" id="{FD8281A4-A6FB-4863-8989-E150977E72D7}"/>
            </a:ext>
          </a:extLst>
        </xdr:cNvPr>
        <xdr:cNvSpPr/>
      </xdr:nvSpPr>
      <xdr:spPr>
        <a:xfrm rot="10800000">
          <a:off x="192786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699</xdr:row>
      <xdr:rowOff>0</xdr:rowOff>
    </xdr:from>
    <xdr:to>
      <xdr:col>60</xdr:col>
      <xdr:colOff>83820</xdr:colOff>
      <xdr:row>699</xdr:row>
      <xdr:rowOff>114300</xdr:rowOff>
    </xdr:to>
    <xdr:sp macro="" textlink="">
      <xdr:nvSpPr>
        <xdr:cNvPr id="5145" name="Arrow: Down 5144">
          <a:extLst>
            <a:ext uri="{FF2B5EF4-FFF2-40B4-BE49-F238E27FC236}">
              <a16:creationId xmlns:a16="http://schemas.microsoft.com/office/drawing/2014/main" id="{E820D330-26C0-4322-94B0-DAF9ABC2D882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699</xdr:row>
      <xdr:rowOff>0</xdr:rowOff>
    </xdr:from>
    <xdr:to>
      <xdr:col>71</xdr:col>
      <xdr:colOff>83820</xdr:colOff>
      <xdr:row>699</xdr:row>
      <xdr:rowOff>114300</xdr:rowOff>
    </xdr:to>
    <xdr:sp macro="" textlink="">
      <xdr:nvSpPr>
        <xdr:cNvPr id="5146" name="Arrow: Down 5145">
          <a:extLst>
            <a:ext uri="{FF2B5EF4-FFF2-40B4-BE49-F238E27FC236}">
              <a16:creationId xmlns:a16="http://schemas.microsoft.com/office/drawing/2014/main" id="{F46EE3E8-6AC0-4BB8-9F50-6DA0AFFBA0C1}"/>
            </a:ext>
          </a:extLst>
        </xdr:cNvPr>
        <xdr:cNvSpPr/>
      </xdr:nvSpPr>
      <xdr:spPr>
        <a:xfrm rot="10800000">
          <a:off x="2196084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700</xdr:row>
      <xdr:rowOff>0</xdr:rowOff>
    </xdr:from>
    <xdr:to>
      <xdr:col>45</xdr:col>
      <xdr:colOff>83820</xdr:colOff>
      <xdr:row>700</xdr:row>
      <xdr:rowOff>114300</xdr:rowOff>
    </xdr:to>
    <xdr:sp macro="" textlink="">
      <xdr:nvSpPr>
        <xdr:cNvPr id="5154" name="Arrow: Down 5153">
          <a:extLst>
            <a:ext uri="{FF2B5EF4-FFF2-40B4-BE49-F238E27FC236}">
              <a16:creationId xmlns:a16="http://schemas.microsoft.com/office/drawing/2014/main" id="{193D334A-566A-46EB-9D91-9A2EF5141615}"/>
            </a:ext>
          </a:extLst>
        </xdr:cNvPr>
        <xdr:cNvSpPr/>
      </xdr:nvSpPr>
      <xdr:spPr>
        <a:xfrm rot="10800000">
          <a:off x="13403580" y="12793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700</xdr:row>
      <xdr:rowOff>0</xdr:rowOff>
    </xdr:from>
    <xdr:to>
      <xdr:col>24</xdr:col>
      <xdr:colOff>83820</xdr:colOff>
      <xdr:row>700</xdr:row>
      <xdr:rowOff>114300</xdr:rowOff>
    </xdr:to>
    <xdr:sp macro="" textlink="">
      <xdr:nvSpPr>
        <xdr:cNvPr id="5157" name="Arrow: Down 5156">
          <a:extLst>
            <a:ext uri="{FF2B5EF4-FFF2-40B4-BE49-F238E27FC236}">
              <a16:creationId xmlns:a16="http://schemas.microsoft.com/office/drawing/2014/main" id="{A1CD2D3A-DAC3-4C44-BF90-925CD8DCD452}"/>
            </a:ext>
          </a:extLst>
        </xdr:cNvPr>
        <xdr:cNvSpPr/>
      </xdr:nvSpPr>
      <xdr:spPr>
        <a:xfrm rot="10800000">
          <a:off x="83362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700</xdr:row>
      <xdr:rowOff>0</xdr:rowOff>
    </xdr:from>
    <xdr:to>
      <xdr:col>11</xdr:col>
      <xdr:colOff>83820</xdr:colOff>
      <xdr:row>700</xdr:row>
      <xdr:rowOff>114300</xdr:rowOff>
    </xdr:to>
    <xdr:sp macro="" textlink="">
      <xdr:nvSpPr>
        <xdr:cNvPr id="5158" name="Arrow: Down 5157">
          <a:extLst>
            <a:ext uri="{FF2B5EF4-FFF2-40B4-BE49-F238E27FC236}">
              <a16:creationId xmlns:a16="http://schemas.microsoft.com/office/drawing/2014/main" id="{E11BE1DA-48E6-4651-ABAA-DF116C004687}"/>
            </a:ext>
          </a:extLst>
        </xdr:cNvPr>
        <xdr:cNvSpPr/>
      </xdr:nvSpPr>
      <xdr:spPr>
        <a:xfrm rot="10800000">
          <a:off x="369570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700</xdr:row>
      <xdr:rowOff>0</xdr:rowOff>
    </xdr:from>
    <xdr:to>
      <xdr:col>5</xdr:col>
      <xdr:colOff>83820</xdr:colOff>
      <xdr:row>700</xdr:row>
      <xdr:rowOff>114300</xdr:rowOff>
    </xdr:to>
    <xdr:sp macro="" textlink="">
      <xdr:nvSpPr>
        <xdr:cNvPr id="5160" name="Arrow: Down 5159">
          <a:extLst>
            <a:ext uri="{FF2B5EF4-FFF2-40B4-BE49-F238E27FC236}">
              <a16:creationId xmlns:a16="http://schemas.microsoft.com/office/drawing/2014/main" id="{B1D10372-7195-49E6-AB23-CDC8D4292F02}"/>
            </a:ext>
          </a:extLst>
        </xdr:cNvPr>
        <xdr:cNvSpPr/>
      </xdr:nvSpPr>
      <xdr:spPr>
        <a:xfrm rot="10800000">
          <a:off x="192786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700</xdr:row>
      <xdr:rowOff>0</xdr:rowOff>
    </xdr:from>
    <xdr:to>
      <xdr:col>60</xdr:col>
      <xdr:colOff>83820</xdr:colOff>
      <xdr:row>700</xdr:row>
      <xdr:rowOff>114300</xdr:rowOff>
    </xdr:to>
    <xdr:sp macro="" textlink="">
      <xdr:nvSpPr>
        <xdr:cNvPr id="5167" name="Arrow: Down 5166">
          <a:extLst>
            <a:ext uri="{FF2B5EF4-FFF2-40B4-BE49-F238E27FC236}">
              <a16:creationId xmlns:a16="http://schemas.microsoft.com/office/drawing/2014/main" id="{048CA84D-7F2E-4DA3-B951-34ED431FCB2A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700</xdr:row>
      <xdr:rowOff>0</xdr:rowOff>
    </xdr:from>
    <xdr:to>
      <xdr:col>71</xdr:col>
      <xdr:colOff>83820</xdr:colOff>
      <xdr:row>700</xdr:row>
      <xdr:rowOff>114300</xdr:rowOff>
    </xdr:to>
    <xdr:sp macro="" textlink="">
      <xdr:nvSpPr>
        <xdr:cNvPr id="5170" name="Arrow: Down 5169">
          <a:extLst>
            <a:ext uri="{FF2B5EF4-FFF2-40B4-BE49-F238E27FC236}">
              <a16:creationId xmlns:a16="http://schemas.microsoft.com/office/drawing/2014/main" id="{6751D577-00C8-4F18-B0A1-0DC68850F627}"/>
            </a:ext>
          </a:extLst>
        </xdr:cNvPr>
        <xdr:cNvSpPr/>
      </xdr:nvSpPr>
      <xdr:spPr>
        <a:xfrm rot="10800000">
          <a:off x="2196084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701</xdr:row>
      <xdr:rowOff>0</xdr:rowOff>
    </xdr:from>
    <xdr:to>
      <xdr:col>64</xdr:col>
      <xdr:colOff>83820</xdr:colOff>
      <xdr:row>701</xdr:row>
      <xdr:rowOff>114300</xdr:rowOff>
    </xdr:to>
    <xdr:sp macro="" textlink="">
      <xdr:nvSpPr>
        <xdr:cNvPr id="5200" name="Arrow: Down 5199">
          <a:extLst>
            <a:ext uri="{FF2B5EF4-FFF2-40B4-BE49-F238E27FC236}">
              <a16:creationId xmlns:a16="http://schemas.microsoft.com/office/drawing/2014/main" id="{D684488D-F7B2-46E6-A1B1-AC0CBA866133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700</xdr:row>
      <xdr:rowOff>0</xdr:rowOff>
    </xdr:from>
    <xdr:to>
      <xdr:col>39</xdr:col>
      <xdr:colOff>83820</xdr:colOff>
      <xdr:row>700</xdr:row>
      <xdr:rowOff>114300</xdr:rowOff>
    </xdr:to>
    <xdr:sp macro="" textlink="">
      <xdr:nvSpPr>
        <xdr:cNvPr id="5208" name="Arrow: Down 5207">
          <a:extLst>
            <a:ext uri="{FF2B5EF4-FFF2-40B4-BE49-F238E27FC236}">
              <a16:creationId xmlns:a16="http://schemas.microsoft.com/office/drawing/2014/main" id="{9BAD74F8-51A4-428E-9F76-45C9FAB0A4DC}"/>
            </a:ext>
          </a:extLst>
        </xdr:cNvPr>
        <xdr:cNvSpPr/>
      </xdr:nvSpPr>
      <xdr:spPr>
        <a:xfrm>
          <a:off x="1154430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701</xdr:row>
      <xdr:rowOff>0</xdr:rowOff>
    </xdr:from>
    <xdr:to>
      <xdr:col>45</xdr:col>
      <xdr:colOff>83820</xdr:colOff>
      <xdr:row>701</xdr:row>
      <xdr:rowOff>114300</xdr:rowOff>
    </xdr:to>
    <xdr:sp macro="" textlink="">
      <xdr:nvSpPr>
        <xdr:cNvPr id="5235" name="Arrow: Down 5234">
          <a:extLst>
            <a:ext uri="{FF2B5EF4-FFF2-40B4-BE49-F238E27FC236}">
              <a16:creationId xmlns:a16="http://schemas.microsoft.com/office/drawing/2014/main" id="{2449551A-26F9-4B7A-B90A-2661A49820A1}"/>
            </a:ext>
          </a:extLst>
        </xdr:cNvPr>
        <xdr:cNvSpPr/>
      </xdr:nvSpPr>
      <xdr:spPr>
        <a:xfrm rot="10800000">
          <a:off x="13403580" y="12811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701</xdr:row>
      <xdr:rowOff>0</xdr:rowOff>
    </xdr:from>
    <xdr:to>
      <xdr:col>71</xdr:col>
      <xdr:colOff>83820</xdr:colOff>
      <xdr:row>701</xdr:row>
      <xdr:rowOff>114300</xdr:rowOff>
    </xdr:to>
    <xdr:sp macro="" textlink="">
      <xdr:nvSpPr>
        <xdr:cNvPr id="5244" name="Arrow: Down 5243">
          <a:extLst>
            <a:ext uri="{FF2B5EF4-FFF2-40B4-BE49-F238E27FC236}">
              <a16:creationId xmlns:a16="http://schemas.microsoft.com/office/drawing/2014/main" id="{E0985202-63E5-45E8-BE80-F7153AAE9AA5}"/>
            </a:ext>
          </a:extLst>
        </xdr:cNvPr>
        <xdr:cNvSpPr/>
      </xdr:nvSpPr>
      <xdr:spPr>
        <a:xfrm rot="10800000">
          <a:off x="2196084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701</xdr:row>
      <xdr:rowOff>0</xdr:rowOff>
    </xdr:from>
    <xdr:to>
      <xdr:col>39</xdr:col>
      <xdr:colOff>83820</xdr:colOff>
      <xdr:row>701</xdr:row>
      <xdr:rowOff>114300</xdr:rowOff>
    </xdr:to>
    <xdr:sp macro="" textlink="">
      <xdr:nvSpPr>
        <xdr:cNvPr id="5245" name="Arrow: Down 5244">
          <a:extLst>
            <a:ext uri="{FF2B5EF4-FFF2-40B4-BE49-F238E27FC236}">
              <a16:creationId xmlns:a16="http://schemas.microsoft.com/office/drawing/2014/main" id="{F16EB9FC-A30D-444F-ADFD-3D1F084D33D1}"/>
            </a:ext>
          </a:extLst>
        </xdr:cNvPr>
        <xdr:cNvSpPr/>
      </xdr:nvSpPr>
      <xdr:spPr>
        <a:xfrm>
          <a:off x="1154430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701</xdr:row>
      <xdr:rowOff>0</xdr:rowOff>
    </xdr:from>
    <xdr:to>
      <xdr:col>60</xdr:col>
      <xdr:colOff>83820</xdr:colOff>
      <xdr:row>701</xdr:row>
      <xdr:rowOff>114300</xdr:rowOff>
    </xdr:to>
    <xdr:sp macro="" textlink="">
      <xdr:nvSpPr>
        <xdr:cNvPr id="5247" name="Arrow: Down 5246">
          <a:extLst>
            <a:ext uri="{FF2B5EF4-FFF2-40B4-BE49-F238E27FC236}">
              <a16:creationId xmlns:a16="http://schemas.microsoft.com/office/drawing/2014/main" id="{F7F215F5-C5D7-42B1-88F3-A32FD9F4DD4A}"/>
            </a:ext>
          </a:extLst>
        </xdr:cNvPr>
        <xdr:cNvSpPr/>
      </xdr:nvSpPr>
      <xdr:spPr>
        <a:xfrm>
          <a:off x="190804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701</xdr:row>
      <xdr:rowOff>0</xdr:rowOff>
    </xdr:from>
    <xdr:to>
      <xdr:col>5</xdr:col>
      <xdr:colOff>83820</xdr:colOff>
      <xdr:row>701</xdr:row>
      <xdr:rowOff>114300</xdr:rowOff>
    </xdr:to>
    <xdr:sp macro="" textlink="">
      <xdr:nvSpPr>
        <xdr:cNvPr id="5251" name="Arrow: Down 5250">
          <a:extLst>
            <a:ext uri="{FF2B5EF4-FFF2-40B4-BE49-F238E27FC236}">
              <a16:creationId xmlns:a16="http://schemas.microsoft.com/office/drawing/2014/main" id="{88FA568A-C835-438A-94E2-B74F45EF1C5E}"/>
            </a:ext>
          </a:extLst>
        </xdr:cNvPr>
        <xdr:cNvSpPr/>
      </xdr:nvSpPr>
      <xdr:spPr>
        <a:xfrm>
          <a:off x="192786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701</xdr:row>
      <xdr:rowOff>0</xdr:rowOff>
    </xdr:from>
    <xdr:to>
      <xdr:col>11</xdr:col>
      <xdr:colOff>83820</xdr:colOff>
      <xdr:row>701</xdr:row>
      <xdr:rowOff>114300</xdr:rowOff>
    </xdr:to>
    <xdr:sp macro="" textlink="">
      <xdr:nvSpPr>
        <xdr:cNvPr id="5257" name="Arrow: Down 5256">
          <a:extLst>
            <a:ext uri="{FF2B5EF4-FFF2-40B4-BE49-F238E27FC236}">
              <a16:creationId xmlns:a16="http://schemas.microsoft.com/office/drawing/2014/main" id="{65A51C5F-1E19-4D83-8E74-8ABB64B25D25}"/>
            </a:ext>
          </a:extLst>
        </xdr:cNvPr>
        <xdr:cNvSpPr/>
      </xdr:nvSpPr>
      <xdr:spPr>
        <a:xfrm>
          <a:off x="369570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701</xdr:row>
      <xdr:rowOff>0</xdr:rowOff>
    </xdr:from>
    <xdr:to>
      <xdr:col>24</xdr:col>
      <xdr:colOff>83820</xdr:colOff>
      <xdr:row>701</xdr:row>
      <xdr:rowOff>114300</xdr:rowOff>
    </xdr:to>
    <xdr:sp macro="" textlink="">
      <xdr:nvSpPr>
        <xdr:cNvPr id="5258" name="Arrow: Down 5257">
          <a:extLst>
            <a:ext uri="{FF2B5EF4-FFF2-40B4-BE49-F238E27FC236}">
              <a16:creationId xmlns:a16="http://schemas.microsoft.com/office/drawing/2014/main" id="{DC2C7EA2-5AED-44E3-B524-1817A2BBF92D}"/>
            </a:ext>
          </a:extLst>
        </xdr:cNvPr>
        <xdr:cNvSpPr/>
      </xdr:nvSpPr>
      <xdr:spPr>
        <a:xfrm>
          <a:off x="83362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702</xdr:row>
      <xdr:rowOff>0</xdr:rowOff>
    </xdr:from>
    <xdr:to>
      <xdr:col>64</xdr:col>
      <xdr:colOff>83820</xdr:colOff>
      <xdr:row>702</xdr:row>
      <xdr:rowOff>114300</xdr:rowOff>
    </xdr:to>
    <xdr:sp macro="" textlink="">
      <xdr:nvSpPr>
        <xdr:cNvPr id="5295" name="Arrow: Down 5294">
          <a:extLst>
            <a:ext uri="{FF2B5EF4-FFF2-40B4-BE49-F238E27FC236}">
              <a16:creationId xmlns:a16="http://schemas.microsoft.com/office/drawing/2014/main" id="{7C21B3F0-FE0A-4747-AAD5-629988E7E558}"/>
            </a:ext>
          </a:extLst>
        </xdr:cNvPr>
        <xdr:cNvSpPr/>
      </xdr:nvSpPr>
      <xdr:spPr>
        <a:xfrm rot="10800000">
          <a:off x="19347180" y="128297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702</xdr:row>
      <xdr:rowOff>0</xdr:rowOff>
    </xdr:from>
    <xdr:to>
      <xdr:col>45</xdr:col>
      <xdr:colOff>83820</xdr:colOff>
      <xdr:row>702</xdr:row>
      <xdr:rowOff>114300</xdr:rowOff>
    </xdr:to>
    <xdr:sp macro="" textlink="">
      <xdr:nvSpPr>
        <xdr:cNvPr id="5297" name="Arrow: Down 5296">
          <a:extLst>
            <a:ext uri="{FF2B5EF4-FFF2-40B4-BE49-F238E27FC236}">
              <a16:creationId xmlns:a16="http://schemas.microsoft.com/office/drawing/2014/main" id="{878AB16E-B879-456F-801B-1EA994F8E878}"/>
            </a:ext>
          </a:extLst>
        </xdr:cNvPr>
        <xdr:cNvSpPr/>
      </xdr:nvSpPr>
      <xdr:spPr>
        <a:xfrm rot="10800000">
          <a:off x="13403580" y="1282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702</xdr:row>
      <xdr:rowOff>0</xdr:rowOff>
    </xdr:from>
    <xdr:to>
      <xdr:col>71</xdr:col>
      <xdr:colOff>83820</xdr:colOff>
      <xdr:row>702</xdr:row>
      <xdr:rowOff>114300</xdr:rowOff>
    </xdr:to>
    <xdr:sp macro="" textlink="">
      <xdr:nvSpPr>
        <xdr:cNvPr id="5299" name="Arrow: Down 5298">
          <a:extLst>
            <a:ext uri="{FF2B5EF4-FFF2-40B4-BE49-F238E27FC236}">
              <a16:creationId xmlns:a16="http://schemas.microsoft.com/office/drawing/2014/main" id="{5E2E69EB-1E94-44A0-8919-B8BC2BF8F5A1}"/>
            </a:ext>
          </a:extLst>
        </xdr:cNvPr>
        <xdr:cNvSpPr/>
      </xdr:nvSpPr>
      <xdr:spPr>
        <a:xfrm rot="10800000">
          <a:off x="21960840" y="1282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702</xdr:row>
      <xdr:rowOff>0</xdr:rowOff>
    </xdr:from>
    <xdr:to>
      <xdr:col>39</xdr:col>
      <xdr:colOff>83820</xdr:colOff>
      <xdr:row>702</xdr:row>
      <xdr:rowOff>114300</xdr:rowOff>
    </xdr:to>
    <xdr:sp macro="" textlink="">
      <xdr:nvSpPr>
        <xdr:cNvPr id="5301" name="Arrow: Down 5300">
          <a:extLst>
            <a:ext uri="{FF2B5EF4-FFF2-40B4-BE49-F238E27FC236}">
              <a16:creationId xmlns:a16="http://schemas.microsoft.com/office/drawing/2014/main" id="{F54E30DE-C56B-4E7B-9B16-36FEA9DE0357}"/>
            </a:ext>
          </a:extLst>
        </xdr:cNvPr>
        <xdr:cNvSpPr/>
      </xdr:nvSpPr>
      <xdr:spPr>
        <a:xfrm>
          <a:off x="11544300" y="1282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702</xdr:row>
      <xdr:rowOff>0</xdr:rowOff>
    </xdr:from>
    <xdr:to>
      <xdr:col>60</xdr:col>
      <xdr:colOff>83820</xdr:colOff>
      <xdr:row>702</xdr:row>
      <xdr:rowOff>114300</xdr:rowOff>
    </xdr:to>
    <xdr:sp macro="" textlink="">
      <xdr:nvSpPr>
        <xdr:cNvPr id="5302" name="Arrow: Down 5301">
          <a:extLst>
            <a:ext uri="{FF2B5EF4-FFF2-40B4-BE49-F238E27FC236}">
              <a16:creationId xmlns:a16="http://schemas.microsoft.com/office/drawing/2014/main" id="{44926EEA-786F-4D26-AF14-7DFB7EA47077}"/>
            </a:ext>
          </a:extLst>
        </xdr:cNvPr>
        <xdr:cNvSpPr/>
      </xdr:nvSpPr>
      <xdr:spPr>
        <a:xfrm>
          <a:off x="190804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702</xdr:row>
      <xdr:rowOff>0</xdr:rowOff>
    </xdr:from>
    <xdr:to>
      <xdr:col>5</xdr:col>
      <xdr:colOff>83820</xdr:colOff>
      <xdr:row>702</xdr:row>
      <xdr:rowOff>114300</xdr:rowOff>
    </xdr:to>
    <xdr:sp macro="" textlink="">
      <xdr:nvSpPr>
        <xdr:cNvPr id="5303" name="Arrow: Down 5302">
          <a:extLst>
            <a:ext uri="{FF2B5EF4-FFF2-40B4-BE49-F238E27FC236}">
              <a16:creationId xmlns:a16="http://schemas.microsoft.com/office/drawing/2014/main" id="{440A125A-EA1D-4347-9AF0-938443F9272C}"/>
            </a:ext>
          </a:extLst>
        </xdr:cNvPr>
        <xdr:cNvSpPr/>
      </xdr:nvSpPr>
      <xdr:spPr>
        <a:xfrm>
          <a:off x="192786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702</xdr:row>
      <xdr:rowOff>0</xdr:rowOff>
    </xdr:from>
    <xdr:to>
      <xdr:col>11</xdr:col>
      <xdr:colOff>83820</xdr:colOff>
      <xdr:row>702</xdr:row>
      <xdr:rowOff>114300</xdr:rowOff>
    </xdr:to>
    <xdr:sp macro="" textlink="">
      <xdr:nvSpPr>
        <xdr:cNvPr id="5304" name="Arrow: Down 5303">
          <a:extLst>
            <a:ext uri="{FF2B5EF4-FFF2-40B4-BE49-F238E27FC236}">
              <a16:creationId xmlns:a16="http://schemas.microsoft.com/office/drawing/2014/main" id="{2AE5BA6F-D0A9-492B-B246-03819B553F29}"/>
            </a:ext>
          </a:extLst>
        </xdr:cNvPr>
        <xdr:cNvSpPr/>
      </xdr:nvSpPr>
      <xdr:spPr>
        <a:xfrm>
          <a:off x="369570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702</xdr:row>
      <xdr:rowOff>0</xdr:rowOff>
    </xdr:from>
    <xdr:to>
      <xdr:col>24</xdr:col>
      <xdr:colOff>83820</xdr:colOff>
      <xdr:row>702</xdr:row>
      <xdr:rowOff>114300</xdr:rowOff>
    </xdr:to>
    <xdr:sp macro="" textlink="">
      <xdr:nvSpPr>
        <xdr:cNvPr id="5305" name="Arrow: Down 5304">
          <a:extLst>
            <a:ext uri="{FF2B5EF4-FFF2-40B4-BE49-F238E27FC236}">
              <a16:creationId xmlns:a16="http://schemas.microsoft.com/office/drawing/2014/main" id="{32BB50EF-8D7B-49B9-BC99-B6357F7F57DA}"/>
            </a:ext>
          </a:extLst>
        </xdr:cNvPr>
        <xdr:cNvSpPr/>
      </xdr:nvSpPr>
      <xdr:spPr>
        <a:xfrm>
          <a:off x="83362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703</xdr:row>
      <xdr:rowOff>0</xdr:rowOff>
    </xdr:from>
    <xdr:to>
      <xdr:col>64</xdr:col>
      <xdr:colOff>83820</xdr:colOff>
      <xdr:row>703</xdr:row>
      <xdr:rowOff>114300</xdr:rowOff>
    </xdr:to>
    <xdr:sp macro="" textlink="">
      <xdr:nvSpPr>
        <xdr:cNvPr id="5307" name="Arrow: Down 5306">
          <a:extLst>
            <a:ext uri="{FF2B5EF4-FFF2-40B4-BE49-F238E27FC236}">
              <a16:creationId xmlns:a16="http://schemas.microsoft.com/office/drawing/2014/main" id="{8BEEA819-C3A9-4780-BF2C-66CA44A528FB}"/>
            </a:ext>
          </a:extLst>
        </xdr:cNvPr>
        <xdr:cNvSpPr/>
      </xdr:nvSpPr>
      <xdr:spPr>
        <a:xfrm rot="10800000">
          <a:off x="19347180" y="128480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703</xdr:row>
      <xdr:rowOff>0</xdr:rowOff>
    </xdr:from>
    <xdr:to>
      <xdr:col>45</xdr:col>
      <xdr:colOff>83820</xdr:colOff>
      <xdr:row>703</xdr:row>
      <xdr:rowOff>114300</xdr:rowOff>
    </xdr:to>
    <xdr:sp macro="" textlink="">
      <xdr:nvSpPr>
        <xdr:cNvPr id="5308" name="Arrow: Down 5307">
          <a:extLst>
            <a:ext uri="{FF2B5EF4-FFF2-40B4-BE49-F238E27FC236}">
              <a16:creationId xmlns:a16="http://schemas.microsoft.com/office/drawing/2014/main" id="{F2A96B2B-BD1D-4170-BFBA-2BED501EDB16}"/>
            </a:ext>
          </a:extLst>
        </xdr:cNvPr>
        <xdr:cNvSpPr/>
      </xdr:nvSpPr>
      <xdr:spPr>
        <a:xfrm rot="10800000">
          <a:off x="13403580" y="128480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703</xdr:row>
      <xdr:rowOff>0</xdr:rowOff>
    </xdr:from>
    <xdr:to>
      <xdr:col>71</xdr:col>
      <xdr:colOff>83820</xdr:colOff>
      <xdr:row>703</xdr:row>
      <xdr:rowOff>114300</xdr:rowOff>
    </xdr:to>
    <xdr:sp macro="" textlink="">
      <xdr:nvSpPr>
        <xdr:cNvPr id="5309" name="Arrow: Down 5308">
          <a:extLst>
            <a:ext uri="{FF2B5EF4-FFF2-40B4-BE49-F238E27FC236}">
              <a16:creationId xmlns:a16="http://schemas.microsoft.com/office/drawing/2014/main" id="{202675BE-668A-4F2A-9CC3-44E3E9D76E0A}"/>
            </a:ext>
          </a:extLst>
        </xdr:cNvPr>
        <xdr:cNvSpPr/>
      </xdr:nvSpPr>
      <xdr:spPr>
        <a:xfrm rot="10800000">
          <a:off x="21960840" y="1284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703</xdr:row>
      <xdr:rowOff>0</xdr:rowOff>
    </xdr:from>
    <xdr:to>
      <xdr:col>39</xdr:col>
      <xdr:colOff>83820</xdr:colOff>
      <xdr:row>703</xdr:row>
      <xdr:rowOff>114300</xdr:rowOff>
    </xdr:to>
    <xdr:sp macro="" textlink="">
      <xdr:nvSpPr>
        <xdr:cNvPr id="5310" name="Arrow: Down 5309">
          <a:extLst>
            <a:ext uri="{FF2B5EF4-FFF2-40B4-BE49-F238E27FC236}">
              <a16:creationId xmlns:a16="http://schemas.microsoft.com/office/drawing/2014/main" id="{144FF7F3-8DCF-4800-909E-CDBCB83CB97F}"/>
            </a:ext>
          </a:extLst>
        </xdr:cNvPr>
        <xdr:cNvSpPr/>
      </xdr:nvSpPr>
      <xdr:spPr>
        <a:xfrm>
          <a:off x="11544300" y="1284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703</xdr:row>
      <xdr:rowOff>0</xdr:rowOff>
    </xdr:from>
    <xdr:to>
      <xdr:col>5</xdr:col>
      <xdr:colOff>83820</xdr:colOff>
      <xdr:row>703</xdr:row>
      <xdr:rowOff>114300</xdr:rowOff>
    </xdr:to>
    <xdr:sp macro="" textlink="">
      <xdr:nvSpPr>
        <xdr:cNvPr id="5312" name="Arrow: Down 5311">
          <a:extLst>
            <a:ext uri="{FF2B5EF4-FFF2-40B4-BE49-F238E27FC236}">
              <a16:creationId xmlns:a16="http://schemas.microsoft.com/office/drawing/2014/main" id="{98114F9B-EE7F-4649-BC06-C005DC8E86BB}"/>
            </a:ext>
          </a:extLst>
        </xdr:cNvPr>
        <xdr:cNvSpPr/>
      </xdr:nvSpPr>
      <xdr:spPr>
        <a:xfrm>
          <a:off x="192786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703</xdr:row>
      <xdr:rowOff>0</xdr:rowOff>
    </xdr:from>
    <xdr:to>
      <xdr:col>11</xdr:col>
      <xdr:colOff>83820</xdr:colOff>
      <xdr:row>703</xdr:row>
      <xdr:rowOff>114300</xdr:rowOff>
    </xdr:to>
    <xdr:sp macro="" textlink="">
      <xdr:nvSpPr>
        <xdr:cNvPr id="5313" name="Arrow: Down 5312">
          <a:extLst>
            <a:ext uri="{FF2B5EF4-FFF2-40B4-BE49-F238E27FC236}">
              <a16:creationId xmlns:a16="http://schemas.microsoft.com/office/drawing/2014/main" id="{BF436A6F-D513-417B-9C7E-E4FEC029626D}"/>
            </a:ext>
          </a:extLst>
        </xdr:cNvPr>
        <xdr:cNvSpPr/>
      </xdr:nvSpPr>
      <xdr:spPr>
        <a:xfrm>
          <a:off x="369570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703</xdr:row>
      <xdr:rowOff>0</xdr:rowOff>
    </xdr:from>
    <xdr:to>
      <xdr:col>24</xdr:col>
      <xdr:colOff>83820</xdr:colOff>
      <xdr:row>703</xdr:row>
      <xdr:rowOff>114300</xdr:rowOff>
    </xdr:to>
    <xdr:sp macro="" textlink="">
      <xdr:nvSpPr>
        <xdr:cNvPr id="5314" name="Arrow: Down 5313">
          <a:extLst>
            <a:ext uri="{FF2B5EF4-FFF2-40B4-BE49-F238E27FC236}">
              <a16:creationId xmlns:a16="http://schemas.microsoft.com/office/drawing/2014/main" id="{A2C4E405-D565-463B-90E7-1B96126854E7}"/>
            </a:ext>
          </a:extLst>
        </xdr:cNvPr>
        <xdr:cNvSpPr/>
      </xdr:nvSpPr>
      <xdr:spPr>
        <a:xfrm>
          <a:off x="833628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703</xdr:row>
      <xdr:rowOff>0</xdr:rowOff>
    </xdr:from>
    <xdr:to>
      <xdr:col>60</xdr:col>
      <xdr:colOff>83820</xdr:colOff>
      <xdr:row>703</xdr:row>
      <xdr:rowOff>114300</xdr:rowOff>
    </xdr:to>
    <xdr:sp macro="" textlink="">
      <xdr:nvSpPr>
        <xdr:cNvPr id="5316" name="Arrow: Down 5315">
          <a:extLst>
            <a:ext uri="{FF2B5EF4-FFF2-40B4-BE49-F238E27FC236}">
              <a16:creationId xmlns:a16="http://schemas.microsoft.com/office/drawing/2014/main" id="{2635F4BE-F939-4E60-8EAC-424E953EE32E}"/>
            </a:ext>
          </a:extLst>
        </xdr:cNvPr>
        <xdr:cNvSpPr/>
      </xdr:nvSpPr>
      <xdr:spPr>
        <a:xfrm rot="10800000">
          <a:off x="1908048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704</xdr:row>
      <xdr:rowOff>0</xdr:rowOff>
    </xdr:from>
    <xdr:to>
      <xdr:col>64</xdr:col>
      <xdr:colOff>83820</xdr:colOff>
      <xdr:row>704</xdr:row>
      <xdr:rowOff>114300</xdr:rowOff>
    </xdr:to>
    <xdr:sp macro="" textlink="">
      <xdr:nvSpPr>
        <xdr:cNvPr id="5318" name="Arrow: Down 5317">
          <a:extLst>
            <a:ext uri="{FF2B5EF4-FFF2-40B4-BE49-F238E27FC236}">
              <a16:creationId xmlns:a16="http://schemas.microsoft.com/office/drawing/2014/main" id="{304439C1-46B0-423E-9C33-DF6D4BA2FD7B}"/>
            </a:ext>
          </a:extLst>
        </xdr:cNvPr>
        <xdr:cNvSpPr/>
      </xdr:nvSpPr>
      <xdr:spPr>
        <a:xfrm rot="10800000">
          <a:off x="19347180" y="128663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704</xdr:row>
      <xdr:rowOff>0</xdr:rowOff>
    </xdr:from>
    <xdr:to>
      <xdr:col>45</xdr:col>
      <xdr:colOff>83820</xdr:colOff>
      <xdr:row>704</xdr:row>
      <xdr:rowOff>114300</xdr:rowOff>
    </xdr:to>
    <xdr:sp macro="" textlink="">
      <xdr:nvSpPr>
        <xdr:cNvPr id="5319" name="Arrow: Down 5318">
          <a:extLst>
            <a:ext uri="{FF2B5EF4-FFF2-40B4-BE49-F238E27FC236}">
              <a16:creationId xmlns:a16="http://schemas.microsoft.com/office/drawing/2014/main" id="{54E1E6DC-3DB1-4DC6-8350-D8E3A8A90020}"/>
            </a:ext>
          </a:extLst>
        </xdr:cNvPr>
        <xdr:cNvSpPr/>
      </xdr:nvSpPr>
      <xdr:spPr>
        <a:xfrm rot="10800000">
          <a:off x="13403580" y="128663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704</xdr:row>
      <xdr:rowOff>0</xdr:rowOff>
    </xdr:from>
    <xdr:to>
      <xdr:col>71</xdr:col>
      <xdr:colOff>83820</xdr:colOff>
      <xdr:row>704</xdr:row>
      <xdr:rowOff>114300</xdr:rowOff>
    </xdr:to>
    <xdr:sp macro="" textlink="">
      <xdr:nvSpPr>
        <xdr:cNvPr id="5320" name="Arrow: Down 5319">
          <a:extLst>
            <a:ext uri="{FF2B5EF4-FFF2-40B4-BE49-F238E27FC236}">
              <a16:creationId xmlns:a16="http://schemas.microsoft.com/office/drawing/2014/main" id="{772AFD65-7A17-443E-8CED-21714A6A75EB}"/>
            </a:ext>
          </a:extLst>
        </xdr:cNvPr>
        <xdr:cNvSpPr/>
      </xdr:nvSpPr>
      <xdr:spPr>
        <a:xfrm rot="10800000">
          <a:off x="2196084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704</xdr:row>
      <xdr:rowOff>0</xdr:rowOff>
    </xdr:from>
    <xdr:to>
      <xdr:col>39</xdr:col>
      <xdr:colOff>83820</xdr:colOff>
      <xdr:row>704</xdr:row>
      <xdr:rowOff>114300</xdr:rowOff>
    </xdr:to>
    <xdr:sp macro="" textlink="">
      <xdr:nvSpPr>
        <xdr:cNvPr id="5321" name="Arrow: Down 5320">
          <a:extLst>
            <a:ext uri="{FF2B5EF4-FFF2-40B4-BE49-F238E27FC236}">
              <a16:creationId xmlns:a16="http://schemas.microsoft.com/office/drawing/2014/main" id="{2F8D979E-8387-4097-9DCE-B9C3045E08DA}"/>
            </a:ext>
          </a:extLst>
        </xdr:cNvPr>
        <xdr:cNvSpPr/>
      </xdr:nvSpPr>
      <xdr:spPr>
        <a:xfrm>
          <a:off x="1154430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704</xdr:row>
      <xdr:rowOff>0</xdr:rowOff>
    </xdr:from>
    <xdr:to>
      <xdr:col>5</xdr:col>
      <xdr:colOff>83820</xdr:colOff>
      <xdr:row>704</xdr:row>
      <xdr:rowOff>114300</xdr:rowOff>
    </xdr:to>
    <xdr:sp macro="" textlink="">
      <xdr:nvSpPr>
        <xdr:cNvPr id="5322" name="Arrow: Down 5321">
          <a:extLst>
            <a:ext uri="{FF2B5EF4-FFF2-40B4-BE49-F238E27FC236}">
              <a16:creationId xmlns:a16="http://schemas.microsoft.com/office/drawing/2014/main" id="{8BEE2A87-1954-4ED9-9F6D-00A437DE71D5}"/>
            </a:ext>
          </a:extLst>
        </xdr:cNvPr>
        <xdr:cNvSpPr/>
      </xdr:nvSpPr>
      <xdr:spPr>
        <a:xfrm>
          <a:off x="192786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704</xdr:row>
      <xdr:rowOff>0</xdr:rowOff>
    </xdr:from>
    <xdr:to>
      <xdr:col>11</xdr:col>
      <xdr:colOff>83820</xdr:colOff>
      <xdr:row>704</xdr:row>
      <xdr:rowOff>114300</xdr:rowOff>
    </xdr:to>
    <xdr:sp macro="" textlink="">
      <xdr:nvSpPr>
        <xdr:cNvPr id="5323" name="Arrow: Down 5322">
          <a:extLst>
            <a:ext uri="{FF2B5EF4-FFF2-40B4-BE49-F238E27FC236}">
              <a16:creationId xmlns:a16="http://schemas.microsoft.com/office/drawing/2014/main" id="{D68CF83A-204B-4865-A1B9-20B299277720}"/>
            </a:ext>
          </a:extLst>
        </xdr:cNvPr>
        <xdr:cNvSpPr/>
      </xdr:nvSpPr>
      <xdr:spPr>
        <a:xfrm>
          <a:off x="369570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704</xdr:row>
      <xdr:rowOff>0</xdr:rowOff>
    </xdr:from>
    <xdr:to>
      <xdr:col>24</xdr:col>
      <xdr:colOff>83820</xdr:colOff>
      <xdr:row>704</xdr:row>
      <xdr:rowOff>114300</xdr:rowOff>
    </xdr:to>
    <xdr:sp macro="" textlink="">
      <xdr:nvSpPr>
        <xdr:cNvPr id="5324" name="Arrow: Down 5323">
          <a:extLst>
            <a:ext uri="{FF2B5EF4-FFF2-40B4-BE49-F238E27FC236}">
              <a16:creationId xmlns:a16="http://schemas.microsoft.com/office/drawing/2014/main" id="{7BC7A635-E384-40C8-B11C-13651E4D65A5}"/>
            </a:ext>
          </a:extLst>
        </xdr:cNvPr>
        <xdr:cNvSpPr/>
      </xdr:nvSpPr>
      <xdr:spPr>
        <a:xfrm>
          <a:off x="833628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704</xdr:row>
      <xdr:rowOff>0</xdr:rowOff>
    </xdr:from>
    <xdr:to>
      <xdr:col>60</xdr:col>
      <xdr:colOff>83820</xdr:colOff>
      <xdr:row>704</xdr:row>
      <xdr:rowOff>114300</xdr:rowOff>
    </xdr:to>
    <xdr:sp macro="" textlink="">
      <xdr:nvSpPr>
        <xdr:cNvPr id="5326" name="Arrow: Down 5325">
          <a:extLst>
            <a:ext uri="{FF2B5EF4-FFF2-40B4-BE49-F238E27FC236}">
              <a16:creationId xmlns:a16="http://schemas.microsoft.com/office/drawing/2014/main" id="{B5B62951-5B4F-4918-A8BD-BA49E02591CD}"/>
            </a:ext>
          </a:extLst>
        </xdr:cNvPr>
        <xdr:cNvSpPr/>
      </xdr:nvSpPr>
      <xdr:spPr>
        <a:xfrm>
          <a:off x="19080480" y="1288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705</xdr:row>
      <xdr:rowOff>0</xdr:rowOff>
    </xdr:from>
    <xdr:to>
      <xdr:col>64</xdr:col>
      <xdr:colOff>83820</xdr:colOff>
      <xdr:row>705</xdr:row>
      <xdr:rowOff>114300</xdr:rowOff>
    </xdr:to>
    <xdr:sp macro="" textlink="">
      <xdr:nvSpPr>
        <xdr:cNvPr id="5327" name="Arrow: Down 5326">
          <a:extLst>
            <a:ext uri="{FF2B5EF4-FFF2-40B4-BE49-F238E27FC236}">
              <a16:creationId xmlns:a16="http://schemas.microsoft.com/office/drawing/2014/main" id="{0BE891CA-E9D5-42A1-ACA4-EF8695A2B875}"/>
            </a:ext>
          </a:extLst>
        </xdr:cNvPr>
        <xdr:cNvSpPr/>
      </xdr:nvSpPr>
      <xdr:spPr>
        <a:xfrm rot="10800000">
          <a:off x="19347180" y="128846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705</xdr:row>
      <xdr:rowOff>0</xdr:rowOff>
    </xdr:from>
    <xdr:to>
      <xdr:col>45</xdr:col>
      <xdr:colOff>83820</xdr:colOff>
      <xdr:row>705</xdr:row>
      <xdr:rowOff>114300</xdr:rowOff>
    </xdr:to>
    <xdr:sp macro="" textlink="">
      <xdr:nvSpPr>
        <xdr:cNvPr id="5328" name="Arrow: Down 5327">
          <a:extLst>
            <a:ext uri="{FF2B5EF4-FFF2-40B4-BE49-F238E27FC236}">
              <a16:creationId xmlns:a16="http://schemas.microsoft.com/office/drawing/2014/main" id="{79EAC458-37BB-4EA4-9CF4-CFD41CC0E94C}"/>
            </a:ext>
          </a:extLst>
        </xdr:cNvPr>
        <xdr:cNvSpPr/>
      </xdr:nvSpPr>
      <xdr:spPr>
        <a:xfrm rot="10800000">
          <a:off x="13403580" y="12884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705</xdr:row>
      <xdr:rowOff>0</xdr:rowOff>
    </xdr:from>
    <xdr:to>
      <xdr:col>60</xdr:col>
      <xdr:colOff>83820</xdr:colOff>
      <xdr:row>705</xdr:row>
      <xdr:rowOff>114300</xdr:rowOff>
    </xdr:to>
    <xdr:sp macro="" textlink="">
      <xdr:nvSpPr>
        <xdr:cNvPr id="5334" name="Arrow: Down 5333">
          <a:extLst>
            <a:ext uri="{FF2B5EF4-FFF2-40B4-BE49-F238E27FC236}">
              <a16:creationId xmlns:a16="http://schemas.microsoft.com/office/drawing/2014/main" id="{17BE1087-950D-419E-8226-F7717F12385F}"/>
            </a:ext>
          </a:extLst>
        </xdr:cNvPr>
        <xdr:cNvSpPr/>
      </xdr:nvSpPr>
      <xdr:spPr>
        <a:xfrm>
          <a:off x="19080480" y="1288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705</xdr:row>
      <xdr:rowOff>0</xdr:rowOff>
    </xdr:from>
    <xdr:to>
      <xdr:col>71</xdr:col>
      <xdr:colOff>83820</xdr:colOff>
      <xdr:row>705</xdr:row>
      <xdr:rowOff>114300</xdr:rowOff>
    </xdr:to>
    <xdr:sp macro="" textlink="">
      <xdr:nvSpPr>
        <xdr:cNvPr id="5336" name="Arrow: Down 5335">
          <a:extLst>
            <a:ext uri="{FF2B5EF4-FFF2-40B4-BE49-F238E27FC236}">
              <a16:creationId xmlns:a16="http://schemas.microsoft.com/office/drawing/2014/main" id="{09E79651-BB45-4466-8334-F391C49F5D88}"/>
            </a:ext>
          </a:extLst>
        </xdr:cNvPr>
        <xdr:cNvSpPr/>
      </xdr:nvSpPr>
      <xdr:spPr>
        <a:xfrm>
          <a:off x="2196084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705</xdr:row>
      <xdr:rowOff>0</xdr:rowOff>
    </xdr:from>
    <xdr:to>
      <xdr:col>5</xdr:col>
      <xdr:colOff>83820</xdr:colOff>
      <xdr:row>705</xdr:row>
      <xdr:rowOff>114300</xdr:rowOff>
    </xdr:to>
    <xdr:sp macro="" textlink="">
      <xdr:nvSpPr>
        <xdr:cNvPr id="5338" name="Arrow: Down 5337">
          <a:extLst>
            <a:ext uri="{FF2B5EF4-FFF2-40B4-BE49-F238E27FC236}">
              <a16:creationId xmlns:a16="http://schemas.microsoft.com/office/drawing/2014/main" id="{4CA8786E-A095-4D9A-826B-FC82D9025641}"/>
            </a:ext>
          </a:extLst>
        </xdr:cNvPr>
        <xdr:cNvSpPr/>
      </xdr:nvSpPr>
      <xdr:spPr>
        <a:xfrm rot="10800000">
          <a:off x="192786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705</xdr:row>
      <xdr:rowOff>0</xdr:rowOff>
    </xdr:from>
    <xdr:to>
      <xdr:col>11</xdr:col>
      <xdr:colOff>83820</xdr:colOff>
      <xdr:row>705</xdr:row>
      <xdr:rowOff>114300</xdr:rowOff>
    </xdr:to>
    <xdr:sp macro="" textlink="">
      <xdr:nvSpPr>
        <xdr:cNvPr id="5340" name="Arrow: Down 5339">
          <a:extLst>
            <a:ext uri="{FF2B5EF4-FFF2-40B4-BE49-F238E27FC236}">
              <a16:creationId xmlns:a16="http://schemas.microsoft.com/office/drawing/2014/main" id="{6B4354DE-5C1D-40F8-BD31-76EDE1DA578B}"/>
            </a:ext>
          </a:extLst>
        </xdr:cNvPr>
        <xdr:cNvSpPr/>
      </xdr:nvSpPr>
      <xdr:spPr>
        <a:xfrm rot="10800000">
          <a:off x="369570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705</xdr:row>
      <xdr:rowOff>0</xdr:rowOff>
    </xdr:from>
    <xdr:to>
      <xdr:col>24</xdr:col>
      <xdr:colOff>83820</xdr:colOff>
      <xdr:row>705</xdr:row>
      <xdr:rowOff>114300</xdr:rowOff>
    </xdr:to>
    <xdr:sp macro="" textlink="">
      <xdr:nvSpPr>
        <xdr:cNvPr id="5342" name="Arrow: Down 5341">
          <a:extLst>
            <a:ext uri="{FF2B5EF4-FFF2-40B4-BE49-F238E27FC236}">
              <a16:creationId xmlns:a16="http://schemas.microsoft.com/office/drawing/2014/main" id="{81289CCB-7C3F-4CF0-A1F8-BA4D339215EF}"/>
            </a:ext>
          </a:extLst>
        </xdr:cNvPr>
        <xdr:cNvSpPr/>
      </xdr:nvSpPr>
      <xdr:spPr>
        <a:xfrm rot="10800000">
          <a:off x="833628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705</xdr:row>
      <xdr:rowOff>0</xdr:rowOff>
    </xdr:from>
    <xdr:to>
      <xdr:col>39</xdr:col>
      <xdr:colOff>83820</xdr:colOff>
      <xdr:row>705</xdr:row>
      <xdr:rowOff>114300</xdr:rowOff>
    </xdr:to>
    <xdr:sp macro="" textlink="">
      <xdr:nvSpPr>
        <xdr:cNvPr id="5344" name="Arrow: Down 5343">
          <a:extLst>
            <a:ext uri="{FF2B5EF4-FFF2-40B4-BE49-F238E27FC236}">
              <a16:creationId xmlns:a16="http://schemas.microsoft.com/office/drawing/2014/main" id="{C7ED1ED6-D24B-4535-A50C-6DE89994C9A3}"/>
            </a:ext>
          </a:extLst>
        </xdr:cNvPr>
        <xdr:cNvSpPr/>
      </xdr:nvSpPr>
      <xdr:spPr>
        <a:xfrm rot="10800000">
          <a:off x="11544300" y="1290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706</xdr:row>
      <xdr:rowOff>0</xdr:rowOff>
    </xdr:from>
    <xdr:to>
      <xdr:col>64</xdr:col>
      <xdr:colOff>83820</xdr:colOff>
      <xdr:row>706</xdr:row>
      <xdr:rowOff>114300</xdr:rowOff>
    </xdr:to>
    <xdr:sp macro="" textlink="">
      <xdr:nvSpPr>
        <xdr:cNvPr id="5345" name="Arrow: Down 5344">
          <a:extLst>
            <a:ext uri="{FF2B5EF4-FFF2-40B4-BE49-F238E27FC236}">
              <a16:creationId xmlns:a16="http://schemas.microsoft.com/office/drawing/2014/main" id="{0BAC868D-6E07-4329-B8BB-0FB6C485B9B0}"/>
            </a:ext>
          </a:extLst>
        </xdr:cNvPr>
        <xdr:cNvSpPr/>
      </xdr:nvSpPr>
      <xdr:spPr>
        <a:xfrm rot="10800000">
          <a:off x="19347180" y="129029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706</xdr:row>
      <xdr:rowOff>0</xdr:rowOff>
    </xdr:from>
    <xdr:to>
      <xdr:col>45</xdr:col>
      <xdr:colOff>83820</xdr:colOff>
      <xdr:row>706</xdr:row>
      <xdr:rowOff>114300</xdr:rowOff>
    </xdr:to>
    <xdr:sp macro="" textlink="">
      <xdr:nvSpPr>
        <xdr:cNvPr id="5346" name="Arrow: Down 5345">
          <a:extLst>
            <a:ext uri="{FF2B5EF4-FFF2-40B4-BE49-F238E27FC236}">
              <a16:creationId xmlns:a16="http://schemas.microsoft.com/office/drawing/2014/main" id="{F4E16C58-F995-445A-831D-1DC21A158DE8}"/>
            </a:ext>
          </a:extLst>
        </xdr:cNvPr>
        <xdr:cNvSpPr/>
      </xdr:nvSpPr>
      <xdr:spPr>
        <a:xfrm rot="10800000">
          <a:off x="13403580" y="1290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706</xdr:row>
      <xdr:rowOff>0</xdr:rowOff>
    </xdr:from>
    <xdr:to>
      <xdr:col>60</xdr:col>
      <xdr:colOff>83820</xdr:colOff>
      <xdr:row>706</xdr:row>
      <xdr:rowOff>114300</xdr:rowOff>
    </xdr:to>
    <xdr:sp macro="" textlink="">
      <xdr:nvSpPr>
        <xdr:cNvPr id="5347" name="Arrow: Down 5346">
          <a:extLst>
            <a:ext uri="{FF2B5EF4-FFF2-40B4-BE49-F238E27FC236}">
              <a16:creationId xmlns:a16="http://schemas.microsoft.com/office/drawing/2014/main" id="{1E3C803D-F565-41C3-977A-317DA9F0E88E}"/>
            </a:ext>
          </a:extLst>
        </xdr:cNvPr>
        <xdr:cNvSpPr/>
      </xdr:nvSpPr>
      <xdr:spPr>
        <a:xfrm>
          <a:off x="1908048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706</xdr:row>
      <xdr:rowOff>0</xdr:rowOff>
    </xdr:from>
    <xdr:to>
      <xdr:col>71</xdr:col>
      <xdr:colOff>83820</xdr:colOff>
      <xdr:row>706</xdr:row>
      <xdr:rowOff>114300</xdr:rowOff>
    </xdr:to>
    <xdr:sp macro="" textlink="">
      <xdr:nvSpPr>
        <xdr:cNvPr id="5348" name="Arrow: Down 5347">
          <a:extLst>
            <a:ext uri="{FF2B5EF4-FFF2-40B4-BE49-F238E27FC236}">
              <a16:creationId xmlns:a16="http://schemas.microsoft.com/office/drawing/2014/main" id="{2A6F79C1-6193-4BE5-A20A-6C85CD66D1D1}"/>
            </a:ext>
          </a:extLst>
        </xdr:cNvPr>
        <xdr:cNvSpPr/>
      </xdr:nvSpPr>
      <xdr:spPr>
        <a:xfrm>
          <a:off x="2196084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706</xdr:row>
      <xdr:rowOff>0</xdr:rowOff>
    </xdr:from>
    <xdr:to>
      <xdr:col>5</xdr:col>
      <xdr:colOff>83820</xdr:colOff>
      <xdr:row>706</xdr:row>
      <xdr:rowOff>114300</xdr:rowOff>
    </xdr:to>
    <xdr:sp macro="" textlink="">
      <xdr:nvSpPr>
        <xdr:cNvPr id="5349" name="Arrow: Down 5348">
          <a:extLst>
            <a:ext uri="{FF2B5EF4-FFF2-40B4-BE49-F238E27FC236}">
              <a16:creationId xmlns:a16="http://schemas.microsoft.com/office/drawing/2014/main" id="{5A805AF3-B8C3-4AEB-B086-39ABFD3041BC}"/>
            </a:ext>
          </a:extLst>
        </xdr:cNvPr>
        <xdr:cNvSpPr/>
      </xdr:nvSpPr>
      <xdr:spPr>
        <a:xfrm rot="10800000">
          <a:off x="192786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706</xdr:row>
      <xdr:rowOff>0</xdr:rowOff>
    </xdr:from>
    <xdr:to>
      <xdr:col>11</xdr:col>
      <xdr:colOff>83820</xdr:colOff>
      <xdr:row>706</xdr:row>
      <xdr:rowOff>114300</xdr:rowOff>
    </xdr:to>
    <xdr:sp macro="" textlink="">
      <xdr:nvSpPr>
        <xdr:cNvPr id="5350" name="Arrow: Down 5349">
          <a:extLst>
            <a:ext uri="{FF2B5EF4-FFF2-40B4-BE49-F238E27FC236}">
              <a16:creationId xmlns:a16="http://schemas.microsoft.com/office/drawing/2014/main" id="{6C2A6270-3B30-4C2A-A35E-66A26F228B21}"/>
            </a:ext>
          </a:extLst>
        </xdr:cNvPr>
        <xdr:cNvSpPr/>
      </xdr:nvSpPr>
      <xdr:spPr>
        <a:xfrm rot="10800000">
          <a:off x="369570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706</xdr:row>
      <xdr:rowOff>0</xdr:rowOff>
    </xdr:from>
    <xdr:to>
      <xdr:col>24</xdr:col>
      <xdr:colOff>83820</xdr:colOff>
      <xdr:row>706</xdr:row>
      <xdr:rowOff>114300</xdr:rowOff>
    </xdr:to>
    <xdr:sp macro="" textlink="">
      <xdr:nvSpPr>
        <xdr:cNvPr id="5351" name="Arrow: Down 5350">
          <a:extLst>
            <a:ext uri="{FF2B5EF4-FFF2-40B4-BE49-F238E27FC236}">
              <a16:creationId xmlns:a16="http://schemas.microsoft.com/office/drawing/2014/main" id="{D24B9C19-2170-4658-9E13-FC212CF71D28}"/>
            </a:ext>
          </a:extLst>
        </xdr:cNvPr>
        <xdr:cNvSpPr/>
      </xdr:nvSpPr>
      <xdr:spPr>
        <a:xfrm rot="10800000">
          <a:off x="833628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706</xdr:row>
      <xdr:rowOff>0</xdr:rowOff>
    </xdr:from>
    <xdr:to>
      <xdr:col>39</xdr:col>
      <xdr:colOff>83820</xdr:colOff>
      <xdr:row>706</xdr:row>
      <xdr:rowOff>114300</xdr:rowOff>
    </xdr:to>
    <xdr:sp macro="" textlink="">
      <xdr:nvSpPr>
        <xdr:cNvPr id="5354" name="Arrow: Down 5353">
          <a:extLst>
            <a:ext uri="{FF2B5EF4-FFF2-40B4-BE49-F238E27FC236}">
              <a16:creationId xmlns:a16="http://schemas.microsoft.com/office/drawing/2014/main" id="{DE995EFF-D109-4A6C-82DA-D34A5B1B1593}"/>
            </a:ext>
          </a:extLst>
        </xdr:cNvPr>
        <xdr:cNvSpPr/>
      </xdr:nvSpPr>
      <xdr:spPr>
        <a:xfrm>
          <a:off x="115443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707</xdr:row>
      <xdr:rowOff>0</xdr:rowOff>
    </xdr:from>
    <xdr:to>
      <xdr:col>64</xdr:col>
      <xdr:colOff>83820</xdr:colOff>
      <xdr:row>707</xdr:row>
      <xdr:rowOff>114300</xdr:rowOff>
    </xdr:to>
    <xdr:sp macro="" textlink="">
      <xdr:nvSpPr>
        <xdr:cNvPr id="5355" name="Arrow: Down 5354">
          <a:extLst>
            <a:ext uri="{FF2B5EF4-FFF2-40B4-BE49-F238E27FC236}">
              <a16:creationId xmlns:a16="http://schemas.microsoft.com/office/drawing/2014/main" id="{3FC88DF0-3DBA-4999-90C5-E81E9C112B06}"/>
            </a:ext>
          </a:extLst>
        </xdr:cNvPr>
        <xdr:cNvSpPr/>
      </xdr:nvSpPr>
      <xdr:spPr>
        <a:xfrm rot="10800000">
          <a:off x="19347180" y="129212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707</xdr:row>
      <xdr:rowOff>0</xdr:rowOff>
    </xdr:from>
    <xdr:to>
      <xdr:col>45</xdr:col>
      <xdr:colOff>83820</xdr:colOff>
      <xdr:row>707</xdr:row>
      <xdr:rowOff>114300</xdr:rowOff>
    </xdr:to>
    <xdr:sp macro="" textlink="">
      <xdr:nvSpPr>
        <xdr:cNvPr id="5356" name="Arrow: Down 5355">
          <a:extLst>
            <a:ext uri="{FF2B5EF4-FFF2-40B4-BE49-F238E27FC236}">
              <a16:creationId xmlns:a16="http://schemas.microsoft.com/office/drawing/2014/main" id="{0A8F52A7-DF9A-4D42-966C-72AEDFA682F3}"/>
            </a:ext>
          </a:extLst>
        </xdr:cNvPr>
        <xdr:cNvSpPr/>
      </xdr:nvSpPr>
      <xdr:spPr>
        <a:xfrm rot="10800000">
          <a:off x="13403580" y="12921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707</xdr:row>
      <xdr:rowOff>0</xdr:rowOff>
    </xdr:from>
    <xdr:to>
      <xdr:col>5</xdr:col>
      <xdr:colOff>83820</xdr:colOff>
      <xdr:row>707</xdr:row>
      <xdr:rowOff>114300</xdr:rowOff>
    </xdr:to>
    <xdr:sp macro="" textlink="">
      <xdr:nvSpPr>
        <xdr:cNvPr id="5359" name="Arrow: Down 5358">
          <a:extLst>
            <a:ext uri="{FF2B5EF4-FFF2-40B4-BE49-F238E27FC236}">
              <a16:creationId xmlns:a16="http://schemas.microsoft.com/office/drawing/2014/main" id="{B1140291-C6B4-4ED5-8616-6E48DE6B5F79}"/>
            </a:ext>
          </a:extLst>
        </xdr:cNvPr>
        <xdr:cNvSpPr/>
      </xdr:nvSpPr>
      <xdr:spPr>
        <a:xfrm rot="10800000">
          <a:off x="192786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707</xdr:row>
      <xdr:rowOff>0</xdr:rowOff>
    </xdr:from>
    <xdr:to>
      <xdr:col>11</xdr:col>
      <xdr:colOff>83820</xdr:colOff>
      <xdr:row>707</xdr:row>
      <xdr:rowOff>114300</xdr:rowOff>
    </xdr:to>
    <xdr:sp macro="" textlink="">
      <xdr:nvSpPr>
        <xdr:cNvPr id="5360" name="Arrow: Down 5359">
          <a:extLst>
            <a:ext uri="{FF2B5EF4-FFF2-40B4-BE49-F238E27FC236}">
              <a16:creationId xmlns:a16="http://schemas.microsoft.com/office/drawing/2014/main" id="{41F1C546-0B96-48C2-A3FE-080C083E3B96}"/>
            </a:ext>
          </a:extLst>
        </xdr:cNvPr>
        <xdr:cNvSpPr/>
      </xdr:nvSpPr>
      <xdr:spPr>
        <a:xfrm rot="10800000">
          <a:off x="36957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707</xdr:row>
      <xdr:rowOff>0</xdr:rowOff>
    </xdr:from>
    <xdr:to>
      <xdr:col>24</xdr:col>
      <xdr:colOff>83820</xdr:colOff>
      <xdr:row>707</xdr:row>
      <xdr:rowOff>114300</xdr:rowOff>
    </xdr:to>
    <xdr:sp macro="" textlink="">
      <xdr:nvSpPr>
        <xdr:cNvPr id="5361" name="Arrow: Down 5360">
          <a:extLst>
            <a:ext uri="{FF2B5EF4-FFF2-40B4-BE49-F238E27FC236}">
              <a16:creationId xmlns:a16="http://schemas.microsoft.com/office/drawing/2014/main" id="{58F9D3D3-5B57-49F0-BE64-07ADAAF274E7}"/>
            </a:ext>
          </a:extLst>
        </xdr:cNvPr>
        <xdr:cNvSpPr/>
      </xdr:nvSpPr>
      <xdr:spPr>
        <a:xfrm rot="10800000">
          <a:off x="833628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707</xdr:row>
      <xdr:rowOff>0</xdr:rowOff>
    </xdr:from>
    <xdr:to>
      <xdr:col>39</xdr:col>
      <xdr:colOff>83820</xdr:colOff>
      <xdr:row>707</xdr:row>
      <xdr:rowOff>114300</xdr:rowOff>
    </xdr:to>
    <xdr:sp macro="" textlink="">
      <xdr:nvSpPr>
        <xdr:cNvPr id="5362" name="Arrow: Down 5361">
          <a:extLst>
            <a:ext uri="{FF2B5EF4-FFF2-40B4-BE49-F238E27FC236}">
              <a16:creationId xmlns:a16="http://schemas.microsoft.com/office/drawing/2014/main" id="{071493B5-35D7-417A-AE63-051B4BB30A3A}"/>
            </a:ext>
          </a:extLst>
        </xdr:cNvPr>
        <xdr:cNvSpPr/>
      </xdr:nvSpPr>
      <xdr:spPr>
        <a:xfrm>
          <a:off x="115443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707</xdr:row>
      <xdr:rowOff>0</xdr:rowOff>
    </xdr:from>
    <xdr:to>
      <xdr:col>60</xdr:col>
      <xdr:colOff>83820</xdr:colOff>
      <xdr:row>707</xdr:row>
      <xdr:rowOff>114300</xdr:rowOff>
    </xdr:to>
    <xdr:sp macro="" textlink="">
      <xdr:nvSpPr>
        <xdr:cNvPr id="5363" name="Arrow: Down 5362">
          <a:extLst>
            <a:ext uri="{FF2B5EF4-FFF2-40B4-BE49-F238E27FC236}">
              <a16:creationId xmlns:a16="http://schemas.microsoft.com/office/drawing/2014/main" id="{69BD1866-D6D1-4BB0-9F33-9715BDBB1191}"/>
            </a:ext>
          </a:extLst>
        </xdr:cNvPr>
        <xdr:cNvSpPr/>
      </xdr:nvSpPr>
      <xdr:spPr>
        <a:xfrm rot="10800000">
          <a:off x="1908048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707</xdr:row>
      <xdr:rowOff>0</xdr:rowOff>
    </xdr:from>
    <xdr:to>
      <xdr:col>71</xdr:col>
      <xdr:colOff>83820</xdr:colOff>
      <xdr:row>707</xdr:row>
      <xdr:rowOff>114300</xdr:rowOff>
    </xdr:to>
    <xdr:sp macro="" textlink="">
      <xdr:nvSpPr>
        <xdr:cNvPr id="5365" name="Arrow: Down 5364">
          <a:extLst>
            <a:ext uri="{FF2B5EF4-FFF2-40B4-BE49-F238E27FC236}">
              <a16:creationId xmlns:a16="http://schemas.microsoft.com/office/drawing/2014/main" id="{A5CDA43D-C820-4C94-9239-FE71641A7894}"/>
            </a:ext>
          </a:extLst>
        </xdr:cNvPr>
        <xdr:cNvSpPr/>
      </xdr:nvSpPr>
      <xdr:spPr>
        <a:xfrm rot="10800000">
          <a:off x="2196084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708</xdr:row>
      <xdr:rowOff>0</xdr:rowOff>
    </xdr:from>
    <xdr:to>
      <xdr:col>64</xdr:col>
      <xdr:colOff>83820</xdr:colOff>
      <xdr:row>708</xdr:row>
      <xdr:rowOff>114300</xdr:rowOff>
    </xdr:to>
    <xdr:sp macro="" textlink="">
      <xdr:nvSpPr>
        <xdr:cNvPr id="5374" name="Arrow: Down 5373">
          <a:extLst>
            <a:ext uri="{FF2B5EF4-FFF2-40B4-BE49-F238E27FC236}">
              <a16:creationId xmlns:a16="http://schemas.microsoft.com/office/drawing/2014/main" id="{B310A1E5-F446-4BC7-89C1-F017135C214A}"/>
            </a:ext>
          </a:extLst>
        </xdr:cNvPr>
        <xdr:cNvSpPr/>
      </xdr:nvSpPr>
      <xdr:spPr>
        <a:xfrm rot="10800000">
          <a:off x="19347180" y="129395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708</xdr:row>
      <xdr:rowOff>0</xdr:rowOff>
    </xdr:from>
    <xdr:to>
      <xdr:col>45</xdr:col>
      <xdr:colOff>83820</xdr:colOff>
      <xdr:row>708</xdr:row>
      <xdr:rowOff>114300</xdr:rowOff>
    </xdr:to>
    <xdr:sp macro="" textlink="">
      <xdr:nvSpPr>
        <xdr:cNvPr id="5375" name="Arrow: Down 5374">
          <a:extLst>
            <a:ext uri="{FF2B5EF4-FFF2-40B4-BE49-F238E27FC236}">
              <a16:creationId xmlns:a16="http://schemas.microsoft.com/office/drawing/2014/main" id="{B100EF96-47B1-4184-8E69-3C535A26C53F}"/>
            </a:ext>
          </a:extLst>
        </xdr:cNvPr>
        <xdr:cNvSpPr/>
      </xdr:nvSpPr>
      <xdr:spPr>
        <a:xfrm rot="10800000">
          <a:off x="13403580" y="12939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708</xdr:row>
      <xdr:rowOff>0</xdr:rowOff>
    </xdr:from>
    <xdr:to>
      <xdr:col>39</xdr:col>
      <xdr:colOff>83820</xdr:colOff>
      <xdr:row>708</xdr:row>
      <xdr:rowOff>114300</xdr:rowOff>
    </xdr:to>
    <xdr:sp macro="" textlink="">
      <xdr:nvSpPr>
        <xdr:cNvPr id="5379" name="Arrow: Down 5378">
          <a:extLst>
            <a:ext uri="{FF2B5EF4-FFF2-40B4-BE49-F238E27FC236}">
              <a16:creationId xmlns:a16="http://schemas.microsoft.com/office/drawing/2014/main" id="{13551243-0E33-4E70-87CB-83D1F06F8965}"/>
            </a:ext>
          </a:extLst>
        </xdr:cNvPr>
        <xdr:cNvSpPr/>
      </xdr:nvSpPr>
      <xdr:spPr>
        <a:xfrm>
          <a:off x="1154430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708</xdr:row>
      <xdr:rowOff>0</xdr:rowOff>
    </xdr:from>
    <xdr:to>
      <xdr:col>5</xdr:col>
      <xdr:colOff>83820</xdr:colOff>
      <xdr:row>708</xdr:row>
      <xdr:rowOff>114300</xdr:rowOff>
    </xdr:to>
    <xdr:sp macro="" textlink="">
      <xdr:nvSpPr>
        <xdr:cNvPr id="5383" name="Arrow: Down 5382">
          <a:extLst>
            <a:ext uri="{FF2B5EF4-FFF2-40B4-BE49-F238E27FC236}">
              <a16:creationId xmlns:a16="http://schemas.microsoft.com/office/drawing/2014/main" id="{4FC6335F-8483-491E-BF75-9ABF4BDAD162}"/>
            </a:ext>
          </a:extLst>
        </xdr:cNvPr>
        <xdr:cNvSpPr/>
      </xdr:nvSpPr>
      <xdr:spPr>
        <a:xfrm>
          <a:off x="192786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708</xdr:row>
      <xdr:rowOff>0</xdr:rowOff>
    </xdr:from>
    <xdr:to>
      <xdr:col>11</xdr:col>
      <xdr:colOff>83820</xdr:colOff>
      <xdr:row>708</xdr:row>
      <xdr:rowOff>114300</xdr:rowOff>
    </xdr:to>
    <xdr:sp macro="" textlink="">
      <xdr:nvSpPr>
        <xdr:cNvPr id="5385" name="Arrow: Down 5384">
          <a:extLst>
            <a:ext uri="{FF2B5EF4-FFF2-40B4-BE49-F238E27FC236}">
              <a16:creationId xmlns:a16="http://schemas.microsoft.com/office/drawing/2014/main" id="{125B6485-EDD1-42BE-AF17-A670A10CCD76}"/>
            </a:ext>
          </a:extLst>
        </xdr:cNvPr>
        <xdr:cNvSpPr/>
      </xdr:nvSpPr>
      <xdr:spPr>
        <a:xfrm>
          <a:off x="369570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708</xdr:row>
      <xdr:rowOff>0</xdr:rowOff>
    </xdr:from>
    <xdr:to>
      <xdr:col>24</xdr:col>
      <xdr:colOff>83820</xdr:colOff>
      <xdr:row>708</xdr:row>
      <xdr:rowOff>114300</xdr:rowOff>
    </xdr:to>
    <xdr:sp macro="" textlink="">
      <xdr:nvSpPr>
        <xdr:cNvPr id="5386" name="Arrow: Down 5385">
          <a:extLst>
            <a:ext uri="{FF2B5EF4-FFF2-40B4-BE49-F238E27FC236}">
              <a16:creationId xmlns:a16="http://schemas.microsoft.com/office/drawing/2014/main" id="{CC65B966-FDAF-45B5-9C09-545736F407AF}"/>
            </a:ext>
          </a:extLst>
        </xdr:cNvPr>
        <xdr:cNvSpPr/>
      </xdr:nvSpPr>
      <xdr:spPr>
        <a:xfrm>
          <a:off x="83362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708</xdr:row>
      <xdr:rowOff>0</xdr:rowOff>
    </xdr:from>
    <xdr:to>
      <xdr:col>60</xdr:col>
      <xdr:colOff>83820</xdr:colOff>
      <xdr:row>708</xdr:row>
      <xdr:rowOff>114300</xdr:rowOff>
    </xdr:to>
    <xdr:sp macro="" textlink="">
      <xdr:nvSpPr>
        <xdr:cNvPr id="5387" name="Arrow: Down 5386">
          <a:extLst>
            <a:ext uri="{FF2B5EF4-FFF2-40B4-BE49-F238E27FC236}">
              <a16:creationId xmlns:a16="http://schemas.microsoft.com/office/drawing/2014/main" id="{4016C2CA-0FDE-4037-8A3B-C7A38B170FB3}"/>
            </a:ext>
          </a:extLst>
        </xdr:cNvPr>
        <xdr:cNvSpPr/>
      </xdr:nvSpPr>
      <xdr:spPr>
        <a:xfrm>
          <a:off x="190804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708</xdr:row>
      <xdr:rowOff>0</xdr:rowOff>
    </xdr:from>
    <xdr:to>
      <xdr:col>71</xdr:col>
      <xdr:colOff>83820</xdr:colOff>
      <xdr:row>708</xdr:row>
      <xdr:rowOff>114300</xdr:rowOff>
    </xdr:to>
    <xdr:sp macro="" textlink="">
      <xdr:nvSpPr>
        <xdr:cNvPr id="5389" name="Arrow: Down 5388">
          <a:extLst>
            <a:ext uri="{FF2B5EF4-FFF2-40B4-BE49-F238E27FC236}">
              <a16:creationId xmlns:a16="http://schemas.microsoft.com/office/drawing/2014/main" id="{97AB838A-E3AC-450E-8105-61929AFFDC80}"/>
            </a:ext>
          </a:extLst>
        </xdr:cNvPr>
        <xdr:cNvSpPr/>
      </xdr:nvSpPr>
      <xdr:spPr>
        <a:xfrm>
          <a:off x="2196084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709</xdr:row>
      <xdr:rowOff>0</xdr:rowOff>
    </xdr:from>
    <xdr:to>
      <xdr:col>64</xdr:col>
      <xdr:colOff>83820</xdr:colOff>
      <xdr:row>709</xdr:row>
      <xdr:rowOff>114300</xdr:rowOff>
    </xdr:to>
    <xdr:sp macro="" textlink="">
      <xdr:nvSpPr>
        <xdr:cNvPr id="5390" name="Arrow: Down 5389">
          <a:extLst>
            <a:ext uri="{FF2B5EF4-FFF2-40B4-BE49-F238E27FC236}">
              <a16:creationId xmlns:a16="http://schemas.microsoft.com/office/drawing/2014/main" id="{2A1FDA2F-89B1-4AA9-B5E5-5C2E0A154CD9}"/>
            </a:ext>
          </a:extLst>
        </xdr:cNvPr>
        <xdr:cNvSpPr/>
      </xdr:nvSpPr>
      <xdr:spPr>
        <a:xfrm rot="10800000">
          <a:off x="19347180" y="129578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709</xdr:row>
      <xdr:rowOff>0</xdr:rowOff>
    </xdr:from>
    <xdr:to>
      <xdr:col>45</xdr:col>
      <xdr:colOff>83820</xdr:colOff>
      <xdr:row>709</xdr:row>
      <xdr:rowOff>114300</xdr:rowOff>
    </xdr:to>
    <xdr:sp macro="" textlink="">
      <xdr:nvSpPr>
        <xdr:cNvPr id="5391" name="Arrow: Down 5390">
          <a:extLst>
            <a:ext uri="{FF2B5EF4-FFF2-40B4-BE49-F238E27FC236}">
              <a16:creationId xmlns:a16="http://schemas.microsoft.com/office/drawing/2014/main" id="{064D7732-2F4C-4A03-A676-8CA14460596F}"/>
            </a:ext>
          </a:extLst>
        </xdr:cNvPr>
        <xdr:cNvSpPr/>
      </xdr:nvSpPr>
      <xdr:spPr>
        <a:xfrm rot="10800000">
          <a:off x="13403580" y="1295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709</xdr:row>
      <xdr:rowOff>0</xdr:rowOff>
    </xdr:from>
    <xdr:to>
      <xdr:col>24</xdr:col>
      <xdr:colOff>83820</xdr:colOff>
      <xdr:row>709</xdr:row>
      <xdr:rowOff>114300</xdr:rowOff>
    </xdr:to>
    <xdr:sp macro="" textlink="">
      <xdr:nvSpPr>
        <xdr:cNvPr id="5395" name="Arrow: Down 5394">
          <a:extLst>
            <a:ext uri="{FF2B5EF4-FFF2-40B4-BE49-F238E27FC236}">
              <a16:creationId xmlns:a16="http://schemas.microsoft.com/office/drawing/2014/main" id="{C58EA291-459A-4C7C-8D45-57BFD3F53E95}"/>
            </a:ext>
          </a:extLst>
        </xdr:cNvPr>
        <xdr:cNvSpPr/>
      </xdr:nvSpPr>
      <xdr:spPr>
        <a:xfrm>
          <a:off x="83362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709</xdr:row>
      <xdr:rowOff>0</xdr:rowOff>
    </xdr:from>
    <xdr:to>
      <xdr:col>60</xdr:col>
      <xdr:colOff>83820</xdr:colOff>
      <xdr:row>709</xdr:row>
      <xdr:rowOff>114300</xdr:rowOff>
    </xdr:to>
    <xdr:sp macro="" textlink="">
      <xdr:nvSpPr>
        <xdr:cNvPr id="5396" name="Arrow: Down 5395">
          <a:extLst>
            <a:ext uri="{FF2B5EF4-FFF2-40B4-BE49-F238E27FC236}">
              <a16:creationId xmlns:a16="http://schemas.microsoft.com/office/drawing/2014/main" id="{72E2CCE1-34C4-48E4-92FA-BD6A6435B331}"/>
            </a:ext>
          </a:extLst>
        </xdr:cNvPr>
        <xdr:cNvSpPr/>
      </xdr:nvSpPr>
      <xdr:spPr>
        <a:xfrm>
          <a:off x="190804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709</xdr:row>
      <xdr:rowOff>0</xdr:rowOff>
    </xdr:from>
    <xdr:to>
      <xdr:col>71</xdr:col>
      <xdr:colOff>83820</xdr:colOff>
      <xdr:row>709</xdr:row>
      <xdr:rowOff>114300</xdr:rowOff>
    </xdr:to>
    <xdr:sp macro="" textlink="">
      <xdr:nvSpPr>
        <xdr:cNvPr id="5397" name="Arrow: Down 5396">
          <a:extLst>
            <a:ext uri="{FF2B5EF4-FFF2-40B4-BE49-F238E27FC236}">
              <a16:creationId xmlns:a16="http://schemas.microsoft.com/office/drawing/2014/main" id="{98697E8F-850C-417C-8CE2-8505811630CC}"/>
            </a:ext>
          </a:extLst>
        </xdr:cNvPr>
        <xdr:cNvSpPr/>
      </xdr:nvSpPr>
      <xdr:spPr>
        <a:xfrm>
          <a:off x="2196084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709</xdr:row>
      <xdr:rowOff>0</xdr:rowOff>
    </xdr:from>
    <xdr:to>
      <xdr:col>39</xdr:col>
      <xdr:colOff>83820</xdr:colOff>
      <xdr:row>709</xdr:row>
      <xdr:rowOff>114300</xdr:rowOff>
    </xdr:to>
    <xdr:sp macro="" textlink="">
      <xdr:nvSpPr>
        <xdr:cNvPr id="5399" name="Arrow: Down 5398">
          <a:extLst>
            <a:ext uri="{FF2B5EF4-FFF2-40B4-BE49-F238E27FC236}">
              <a16:creationId xmlns:a16="http://schemas.microsoft.com/office/drawing/2014/main" id="{2B758A39-D94D-4D6A-ACF3-54D9AFE452D1}"/>
            </a:ext>
          </a:extLst>
        </xdr:cNvPr>
        <xdr:cNvSpPr/>
      </xdr:nvSpPr>
      <xdr:spPr>
        <a:xfrm rot="10800000">
          <a:off x="11544300" y="12976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709</xdr:row>
      <xdr:rowOff>0</xdr:rowOff>
    </xdr:from>
    <xdr:to>
      <xdr:col>11</xdr:col>
      <xdr:colOff>83820</xdr:colOff>
      <xdr:row>709</xdr:row>
      <xdr:rowOff>114300</xdr:rowOff>
    </xdr:to>
    <xdr:sp macro="" textlink="">
      <xdr:nvSpPr>
        <xdr:cNvPr id="5400" name="Arrow: Down 5399">
          <a:extLst>
            <a:ext uri="{FF2B5EF4-FFF2-40B4-BE49-F238E27FC236}">
              <a16:creationId xmlns:a16="http://schemas.microsoft.com/office/drawing/2014/main" id="{502FA848-9BF2-4616-BE4A-2D072F95510D}"/>
            </a:ext>
          </a:extLst>
        </xdr:cNvPr>
        <xdr:cNvSpPr/>
      </xdr:nvSpPr>
      <xdr:spPr>
        <a:xfrm rot="10800000">
          <a:off x="3695700" y="12976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709</xdr:row>
      <xdr:rowOff>0</xdr:rowOff>
    </xdr:from>
    <xdr:to>
      <xdr:col>5</xdr:col>
      <xdr:colOff>83820</xdr:colOff>
      <xdr:row>709</xdr:row>
      <xdr:rowOff>114300</xdr:rowOff>
    </xdr:to>
    <xdr:sp macro="" textlink="">
      <xdr:nvSpPr>
        <xdr:cNvPr id="5402" name="Arrow: Down 5401">
          <a:extLst>
            <a:ext uri="{FF2B5EF4-FFF2-40B4-BE49-F238E27FC236}">
              <a16:creationId xmlns:a16="http://schemas.microsoft.com/office/drawing/2014/main" id="{8FF58279-A4F6-495D-8807-3EBF4580E7CD}"/>
            </a:ext>
          </a:extLst>
        </xdr:cNvPr>
        <xdr:cNvSpPr/>
      </xdr:nvSpPr>
      <xdr:spPr>
        <a:xfrm rot="10800000">
          <a:off x="1927860" y="12976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710</xdr:row>
      <xdr:rowOff>0</xdr:rowOff>
    </xdr:from>
    <xdr:to>
      <xdr:col>64</xdr:col>
      <xdr:colOff>83820</xdr:colOff>
      <xdr:row>710</xdr:row>
      <xdr:rowOff>114300</xdr:rowOff>
    </xdr:to>
    <xdr:sp macro="" textlink="">
      <xdr:nvSpPr>
        <xdr:cNvPr id="5403" name="Arrow: Down 5402">
          <a:extLst>
            <a:ext uri="{FF2B5EF4-FFF2-40B4-BE49-F238E27FC236}">
              <a16:creationId xmlns:a16="http://schemas.microsoft.com/office/drawing/2014/main" id="{9CF5B754-7881-4A1C-9242-C26467644D65}"/>
            </a:ext>
          </a:extLst>
        </xdr:cNvPr>
        <xdr:cNvSpPr/>
      </xdr:nvSpPr>
      <xdr:spPr>
        <a:xfrm rot="10800000">
          <a:off x="19347180" y="129760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710</xdr:row>
      <xdr:rowOff>0</xdr:rowOff>
    </xdr:from>
    <xdr:to>
      <xdr:col>45</xdr:col>
      <xdr:colOff>83820</xdr:colOff>
      <xdr:row>710</xdr:row>
      <xdr:rowOff>114300</xdr:rowOff>
    </xdr:to>
    <xdr:sp macro="" textlink="">
      <xdr:nvSpPr>
        <xdr:cNvPr id="5404" name="Arrow: Down 5403">
          <a:extLst>
            <a:ext uri="{FF2B5EF4-FFF2-40B4-BE49-F238E27FC236}">
              <a16:creationId xmlns:a16="http://schemas.microsoft.com/office/drawing/2014/main" id="{3B1BEC3B-63D9-4EFB-95F6-7590A92D94A0}"/>
            </a:ext>
          </a:extLst>
        </xdr:cNvPr>
        <xdr:cNvSpPr/>
      </xdr:nvSpPr>
      <xdr:spPr>
        <a:xfrm rot="10800000">
          <a:off x="13403580" y="12976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710</xdr:row>
      <xdr:rowOff>0</xdr:rowOff>
    </xdr:from>
    <xdr:to>
      <xdr:col>71</xdr:col>
      <xdr:colOff>83820</xdr:colOff>
      <xdr:row>710</xdr:row>
      <xdr:rowOff>114300</xdr:rowOff>
    </xdr:to>
    <xdr:sp macro="" textlink="">
      <xdr:nvSpPr>
        <xdr:cNvPr id="5407" name="Arrow: Down 5406">
          <a:extLst>
            <a:ext uri="{FF2B5EF4-FFF2-40B4-BE49-F238E27FC236}">
              <a16:creationId xmlns:a16="http://schemas.microsoft.com/office/drawing/2014/main" id="{00C3E77D-ED5E-43E3-8632-BAFAFFD98053}"/>
            </a:ext>
          </a:extLst>
        </xdr:cNvPr>
        <xdr:cNvSpPr/>
      </xdr:nvSpPr>
      <xdr:spPr>
        <a:xfrm>
          <a:off x="21960840" y="1297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710</xdr:row>
      <xdr:rowOff>0</xdr:rowOff>
    </xdr:from>
    <xdr:to>
      <xdr:col>60</xdr:col>
      <xdr:colOff>83820</xdr:colOff>
      <xdr:row>710</xdr:row>
      <xdr:rowOff>114300</xdr:rowOff>
    </xdr:to>
    <xdr:sp macro="" textlink="">
      <xdr:nvSpPr>
        <xdr:cNvPr id="5412" name="Arrow: Down 5411">
          <a:extLst>
            <a:ext uri="{FF2B5EF4-FFF2-40B4-BE49-F238E27FC236}">
              <a16:creationId xmlns:a16="http://schemas.microsoft.com/office/drawing/2014/main" id="{D6AACEC7-8E23-40B1-97FD-3CD99B945B4C}"/>
            </a:ext>
          </a:extLst>
        </xdr:cNvPr>
        <xdr:cNvSpPr/>
      </xdr:nvSpPr>
      <xdr:spPr>
        <a:xfrm rot="10800000">
          <a:off x="19080480" y="1299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710</xdr:row>
      <xdr:rowOff>0</xdr:rowOff>
    </xdr:from>
    <xdr:to>
      <xdr:col>39</xdr:col>
      <xdr:colOff>83820</xdr:colOff>
      <xdr:row>710</xdr:row>
      <xdr:rowOff>114300</xdr:rowOff>
    </xdr:to>
    <xdr:sp macro="" textlink="">
      <xdr:nvSpPr>
        <xdr:cNvPr id="5415" name="Arrow: Down 5414">
          <a:extLst>
            <a:ext uri="{FF2B5EF4-FFF2-40B4-BE49-F238E27FC236}">
              <a16:creationId xmlns:a16="http://schemas.microsoft.com/office/drawing/2014/main" id="{3867EC92-27DF-4BBA-8346-F960D5D212D7}"/>
            </a:ext>
          </a:extLst>
        </xdr:cNvPr>
        <xdr:cNvSpPr/>
      </xdr:nvSpPr>
      <xdr:spPr>
        <a:xfrm>
          <a:off x="11544300" y="1299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710</xdr:row>
      <xdr:rowOff>0</xdr:rowOff>
    </xdr:from>
    <xdr:to>
      <xdr:col>24</xdr:col>
      <xdr:colOff>83820</xdr:colOff>
      <xdr:row>710</xdr:row>
      <xdr:rowOff>114300</xdr:rowOff>
    </xdr:to>
    <xdr:sp macro="" textlink="">
      <xdr:nvSpPr>
        <xdr:cNvPr id="5416" name="Arrow: Down 5415">
          <a:extLst>
            <a:ext uri="{FF2B5EF4-FFF2-40B4-BE49-F238E27FC236}">
              <a16:creationId xmlns:a16="http://schemas.microsoft.com/office/drawing/2014/main" id="{A8488941-8B75-4798-9821-6E06FE328E37}"/>
            </a:ext>
          </a:extLst>
        </xdr:cNvPr>
        <xdr:cNvSpPr/>
      </xdr:nvSpPr>
      <xdr:spPr>
        <a:xfrm>
          <a:off x="833628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710</xdr:row>
      <xdr:rowOff>0</xdr:rowOff>
    </xdr:from>
    <xdr:to>
      <xdr:col>11</xdr:col>
      <xdr:colOff>83820</xdr:colOff>
      <xdr:row>710</xdr:row>
      <xdr:rowOff>114300</xdr:rowOff>
    </xdr:to>
    <xdr:sp macro="" textlink="">
      <xdr:nvSpPr>
        <xdr:cNvPr id="5417" name="Arrow: Down 5416">
          <a:extLst>
            <a:ext uri="{FF2B5EF4-FFF2-40B4-BE49-F238E27FC236}">
              <a16:creationId xmlns:a16="http://schemas.microsoft.com/office/drawing/2014/main" id="{70BE39C5-976F-4686-A14D-240B56AA52B3}"/>
            </a:ext>
          </a:extLst>
        </xdr:cNvPr>
        <xdr:cNvSpPr/>
      </xdr:nvSpPr>
      <xdr:spPr>
        <a:xfrm>
          <a:off x="369570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710</xdr:row>
      <xdr:rowOff>0</xdr:rowOff>
    </xdr:from>
    <xdr:to>
      <xdr:col>5</xdr:col>
      <xdr:colOff>83820</xdr:colOff>
      <xdr:row>710</xdr:row>
      <xdr:rowOff>114300</xdr:rowOff>
    </xdr:to>
    <xdr:sp macro="" textlink="">
      <xdr:nvSpPr>
        <xdr:cNvPr id="5419" name="Arrow: Down 5418">
          <a:extLst>
            <a:ext uri="{FF2B5EF4-FFF2-40B4-BE49-F238E27FC236}">
              <a16:creationId xmlns:a16="http://schemas.microsoft.com/office/drawing/2014/main" id="{FFE934A3-419D-4ECB-AC10-30B260B0C54E}"/>
            </a:ext>
          </a:extLst>
        </xdr:cNvPr>
        <xdr:cNvSpPr/>
      </xdr:nvSpPr>
      <xdr:spPr>
        <a:xfrm>
          <a:off x="192786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711</xdr:row>
      <xdr:rowOff>0</xdr:rowOff>
    </xdr:from>
    <xdr:to>
      <xdr:col>64</xdr:col>
      <xdr:colOff>83820</xdr:colOff>
      <xdr:row>711</xdr:row>
      <xdr:rowOff>114300</xdr:rowOff>
    </xdr:to>
    <xdr:sp macro="" textlink="">
      <xdr:nvSpPr>
        <xdr:cNvPr id="5428" name="Arrow: Down 5427">
          <a:extLst>
            <a:ext uri="{FF2B5EF4-FFF2-40B4-BE49-F238E27FC236}">
              <a16:creationId xmlns:a16="http://schemas.microsoft.com/office/drawing/2014/main" id="{9CA275CD-C239-4421-A7D7-AD46A4CDD75F}"/>
            </a:ext>
          </a:extLst>
        </xdr:cNvPr>
        <xdr:cNvSpPr/>
      </xdr:nvSpPr>
      <xdr:spPr>
        <a:xfrm rot="10800000">
          <a:off x="19347180" y="129943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711</xdr:row>
      <xdr:rowOff>0</xdr:rowOff>
    </xdr:from>
    <xdr:to>
      <xdr:col>45</xdr:col>
      <xdr:colOff>83820</xdr:colOff>
      <xdr:row>711</xdr:row>
      <xdr:rowOff>114300</xdr:rowOff>
    </xdr:to>
    <xdr:sp macro="" textlink="">
      <xdr:nvSpPr>
        <xdr:cNvPr id="5429" name="Arrow: Down 5428">
          <a:extLst>
            <a:ext uri="{FF2B5EF4-FFF2-40B4-BE49-F238E27FC236}">
              <a16:creationId xmlns:a16="http://schemas.microsoft.com/office/drawing/2014/main" id="{DB4B25AC-6C0A-421B-901E-D85D373DC0BF}"/>
            </a:ext>
          </a:extLst>
        </xdr:cNvPr>
        <xdr:cNvSpPr/>
      </xdr:nvSpPr>
      <xdr:spPr>
        <a:xfrm rot="10800000">
          <a:off x="13403580" y="129943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711</xdr:row>
      <xdr:rowOff>0</xdr:rowOff>
    </xdr:from>
    <xdr:to>
      <xdr:col>71</xdr:col>
      <xdr:colOff>83820</xdr:colOff>
      <xdr:row>711</xdr:row>
      <xdr:rowOff>114300</xdr:rowOff>
    </xdr:to>
    <xdr:sp macro="" textlink="">
      <xdr:nvSpPr>
        <xdr:cNvPr id="5430" name="Arrow: Down 5429">
          <a:extLst>
            <a:ext uri="{FF2B5EF4-FFF2-40B4-BE49-F238E27FC236}">
              <a16:creationId xmlns:a16="http://schemas.microsoft.com/office/drawing/2014/main" id="{72E8CA3A-48BB-4FA4-A353-25F2795A51B5}"/>
            </a:ext>
          </a:extLst>
        </xdr:cNvPr>
        <xdr:cNvSpPr/>
      </xdr:nvSpPr>
      <xdr:spPr>
        <a:xfrm>
          <a:off x="2196084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711</xdr:row>
      <xdr:rowOff>0</xdr:rowOff>
    </xdr:from>
    <xdr:to>
      <xdr:col>24</xdr:col>
      <xdr:colOff>83820</xdr:colOff>
      <xdr:row>711</xdr:row>
      <xdr:rowOff>114300</xdr:rowOff>
    </xdr:to>
    <xdr:sp macro="" textlink="">
      <xdr:nvSpPr>
        <xdr:cNvPr id="5433" name="Arrow: Down 5432">
          <a:extLst>
            <a:ext uri="{FF2B5EF4-FFF2-40B4-BE49-F238E27FC236}">
              <a16:creationId xmlns:a16="http://schemas.microsoft.com/office/drawing/2014/main" id="{C33FDC37-E051-4BD2-9ED5-6237173DF29A}"/>
            </a:ext>
          </a:extLst>
        </xdr:cNvPr>
        <xdr:cNvSpPr/>
      </xdr:nvSpPr>
      <xdr:spPr>
        <a:xfrm>
          <a:off x="833628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711</xdr:row>
      <xdr:rowOff>0</xdr:rowOff>
    </xdr:from>
    <xdr:to>
      <xdr:col>11</xdr:col>
      <xdr:colOff>83820</xdr:colOff>
      <xdr:row>711</xdr:row>
      <xdr:rowOff>114300</xdr:rowOff>
    </xdr:to>
    <xdr:sp macro="" textlink="">
      <xdr:nvSpPr>
        <xdr:cNvPr id="5434" name="Arrow: Down 5433">
          <a:extLst>
            <a:ext uri="{FF2B5EF4-FFF2-40B4-BE49-F238E27FC236}">
              <a16:creationId xmlns:a16="http://schemas.microsoft.com/office/drawing/2014/main" id="{F1E27791-A98E-4F59-B4F8-29926E1E594C}"/>
            </a:ext>
          </a:extLst>
        </xdr:cNvPr>
        <xdr:cNvSpPr/>
      </xdr:nvSpPr>
      <xdr:spPr>
        <a:xfrm>
          <a:off x="369570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711</xdr:row>
      <xdr:rowOff>0</xdr:rowOff>
    </xdr:from>
    <xdr:to>
      <xdr:col>5</xdr:col>
      <xdr:colOff>83820</xdr:colOff>
      <xdr:row>711</xdr:row>
      <xdr:rowOff>114300</xdr:rowOff>
    </xdr:to>
    <xdr:sp macro="" textlink="">
      <xdr:nvSpPr>
        <xdr:cNvPr id="5435" name="Arrow: Down 5434">
          <a:extLst>
            <a:ext uri="{FF2B5EF4-FFF2-40B4-BE49-F238E27FC236}">
              <a16:creationId xmlns:a16="http://schemas.microsoft.com/office/drawing/2014/main" id="{F30AF581-CA57-4044-A398-CF6B66C0065B}"/>
            </a:ext>
          </a:extLst>
        </xdr:cNvPr>
        <xdr:cNvSpPr/>
      </xdr:nvSpPr>
      <xdr:spPr>
        <a:xfrm>
          <a:off x="192786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711</xdr:row>
      <xdr:rowOff>0</xdr:rowOff>
    </xdr:from>
    <xdr:to>
      <xdr:col>39</xdr:col>
      <xdr:colOff>83820</xdr:colOff>
      <xdr:row>711</xdr:row>
      <xdr:rowOff>114300</xdr:rowOff>
    </xdr:to>
    <xdr:sp macro="" textlink="">
      <xdr:nvSpPr>
        <xdr:cNvPr id="5436" name="Arrow: Down 5435">
          <a:extLst>
            <a:ext uri="{FF2B5EF4-FFF2-40B4-BE49-F238E27FC236}">
              <a16:creationId xmlns:a16="http://schemas.microsoft.com/office/drawing/2014/main" id="{CC0BA1BD-5E7C-4323-AB84-A4D8B602673E}"/>
            </a:ext>
          </a:extLst>
        </xdr:cNvPr>
        <xdr:cNvSpPr/>
      </xdr:nvSpPr>
      <xdr:spPr>
        <a:xfrm rot="10800000">
          <a:off x="1154430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711</xdr:row>
      <xdr:rowOff>0</xdr:rowOff>
    </xdr:from>
    <xdr:to>
      <xdr:col>60</xdr:col>
      <xdr:colOff>83820</xdr:colOff>
      <xdr:row>711</xdr:row>
      <xdr:rowOff>114300</xdr:rowOff>
    </xdr:to>
    <xdr:sp macro="" textlink="">
      <xdr:nvSpPr>
        <xdr:cNvPr id="5437" name="Arrow: Down 5436">
          <a:extLst>
            <a:ext uri="{FF2B5EF4-FFF2-40B4-BE49-F238E27FC236}">
              <a16:creationId xmlns:a16="http://schemas.microsoft.com/office/drawing/2014/main" id="{7F73C9C7-D429-4FA6-B7A4-05B6FB04B0EC}"/>
            </a:ext>
          </a:extLst>
        </xdr:cNvPr>
        <xdr:cNvSpPr/>
      </xdr:nvSpPr>
      <xdr:spPr>
        <a:xfrm>
          <a:off x="1908048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712</xdr:row>
      <xdr:rowOff>0</xdr:rowOff>
    </xdr:from>
    <xdr:to>
      <xdr:col>64</xdr:col>
      <xdr:colOff>83820</xdr:colOff>
      <xdr:row>712</xdr:row>
      <xdr:rowOff>114300</xdr:rowOff>
    </xdr:to>
    <xdr:sp macro="" textlink="">
      <xdr:nvSpPr>
        <xdr:cNvPr id="5438" name="Arrow: Down 5437">
          <a:extLst>
            <a:ext uri="{FF2B5EF4-FFF2-40B4-BE49-F238E27FC236}">
              <a16:creationId xmlns:a16="http://schemas.microsoft.com/office/drawing/2014/main" id="{916C1BF2-13EE-44D9-A9E5-99B44FF28B21}"/>
            </a:ext>
          </a:extLst>
        </xdr:cNvPr>
        <xdr:cNvSpPr/>
      </xdr:nvSpPr>
      <xdr:spPr>
        <a:xfrm rot="10800000">
          <a:off x="19347180" y="130126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712</xdr:row>
      <xdr:rowOff>0</xdr:rowOff>
    </xdr:from>
    <xdr:to>
      <xdr:col>45</xdr:col>
      <xdr:colOff>83820</xdr:colOff>
      <xdr:row>712</xdr:row>
      <xdr:rowOff>114300</xdr:rowOff>
    </xdr:to>
    <xdr:sp macro="" textlink="">
      <xdr:nvSpPr>
        <xdr:cNvPr id="5439" name="Arrow: Down 5438">
          <a:extLst>
            <a:ext uri="{FF2B5EF4-FFF2-40B4-BE49-F238E27FC236}">
              <a16:creationId xmlns:a16="http://schemas.microsoft.com/office/drawing/2014/main" id="{BED2556E-9D8D-480A-BB81-FF917C3654A6}"/>
            </a:ext>
          </a:extLst>
        </xdr:cNvPr>
        <xdr:cNvSpPr/>
      </xdr:nvSpPr>
      <xdr:spPr>
        <a:xfrm rot="10800000">
          <a:off x="1340358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712</xdr:row>
      <xdr:rowOff>0</xdr:rowOff>
    </xdr:from>
    <xdr:to>
      <xdr:col>71</xdr:col>
      <xdr:colOff>83820</xdr:colOff>
      <xdr:row>712</xdr:row>
      <xdr:rowOff>114300</xdr:rowOff>
    </xdr:to>
    <xdr:sp macro="" textlink="">
      <xdr:nvSpPr>
        <xdr:cNvPr id="5440" name="Arrow: Down 5439">
          <a:extLst>
            <a:ext uri="{FF2B5EF4-FFF2-40B4-BE49-F238E27FC236}">
              <a16:creationId xmlns:a16="http://schemas.microsoft.com/office/drawing/2014/main" id="{5291825F-1858-45DE-B901-F5CEB13DCDD8}"/>
            </a:ext>
          </a:extLst>
        </xdr:cNvPr>
        <xdr:cNvSpPr/>
      </xdr:nvSpPr>
      <xdr:spPr>
        <a:xfrm>
          <a:off x="2196084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712</xdr:row>
      <xdr:rowOff>0</xdr:rowOff>
    </xdr:from>
    <xdr:to>
      <xdr:col>39</xdr:col>
      <xdr:colOff>83820</xdr:colOff>
      <xdr:row>712</xdr:row>
      <xdr:rowOff>114300</xdr:rowOff>
    </xdr:to>
    <xdr:sp macro="" textlink="">
      <xdr:nvSpPr>
        <xdr:cNvPr id="5444" name="Arrow: Down 5443">
          <a:extLst>
            <a:ext uri="{FF2B5EF4-FFF2-40B4-BE49-F238E27FC236}">
              <a16:creationId xmlns:a16="http://schemas.microsoft.com/office/drawing/2014/main" id="{B5DAA833-47F5-4721-92A6-1DB6F02896A9}"/>
            </a:ext>
          </a:extLst>
        </xdr:cNvPr>
        <xdr:cNvSpPr/>
      </xdr:nvSpPr>
      <xdr:spPr>
        <a:xfrm rot="10800000">
          <a:off x="1154430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712</xdr:row>
      <xdr:rowOff>0</xdr:rowOff>
    </xdr:from>
    <xdr:to>
      <xdr:col>60</xdr:col>
      <xdr:colOff>83820</xdr:colOff>
      <xdr:row>712</xdr:row>
      <xdr:rowOff>114300</xdr:rowOff>
    </xdr:to>
    <xdr:sp macro="" textlink="">
      <xdr:nvSpPr>
        <xdr:cNvPr id="5445" name="Arrow: Down 5444">
          <a:extLst>
            <a:ext uri="{FF2B5EF4-FFF2-40B4-BE49-F238E27FC236}">
              <a16:creationId xmlns:a16="http://schemas.microsoft.com/office/drawing/2014/main" id="{D3676F9F-C667-459F-96AD-B8187AA229F0}"/>
            </a:ext>
          </a:extLst>
        </xdr:cNvPr>
        <xdr:cNvSpPr/>
      </xdr:nvSpPr>
      <xdr:spPr>
        <a:xfrm>
          <a:off x="1908048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712</xdr:row>
      <xdr:rowOff>0</xdr:rowOff>
    </xdr:from>
    <xdr:to>
      <xdr:col>5</xdr:col>
      <xdr:colOff>83820</xdr:colOff>
      <xdr:row>712</xdr:row>
      <xdr:rowOff>114300</xdr:rowOff>
    </xdr:to>
    <xdr:sp macro="" textlink="">
      <xdr:nvSpPr>
        <xdr:cNvPr id="5447" name="Arrow: Down 5446">
          <a:extLst>
            <a:ext uri="{FF2B5EF4-FFF2-40B4-BE49-F238E27FC236}">
              <a16:creationId xmlns:a16="http://schemas.microsoft.com/office/drawing/2014/main" id="{97220C33-B29B-4452-8140-D3ACB4B9B5AB}"/>
            </a:ext>
          </a:extLst>
        </xdr:cNvPr>
        <xdr:cNvSpPr/>
      </xdr:nvSpPr>
      <xdr:spPr>
        <a:xfrm rot="10800000">
          <a:off x="192786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712</xdr:row>
      <xdr:rowOff>0</xdr:rowOff>
    </xdr:from>
    <xdr:to>
      <xdr:col>11</xdr:col>
      <xdr:colOff>83820</xdr:colOff>
      <xdr:row>712</xdr:row>
      <xdr:rowOff>114300</xdr:rowOff>
    </xdr:to>
    <xdr:sp macro="" textlink="">
      <xdr:nvSpPr>
        <xdr:cNvPr id="5449" name="Arrow: Down 5448">
          <a:extLst>
            <a:ext uri="{FF2B5EF4-FFF2-40B4-BE49-F238E27FC236}">
              <a16:creationId xmlns:a16="http://schemas.microsoft.com/office/drawing/2014/main" id="{B571A954-AF07-4A70-A6FF-4EF21BA53BB6}"/>
            </a:ext>
          </a:extLst>
        </xdr:cNvPr>
        <xdr:cNvSpPr/>
      </xdr:nvSpPr>
      <xdr:spPr>
        <a:xfrm rot="10800000">
          <a:off x="369570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712</xdr:row>
      <xdr:rowOff>0</xdr:rowOff>
    </xdr:from>
    <xdr:to>
      <xdr:col>24</xdr:col>
      <xdr:colOff>83820</xdr:colOff>
      <xdr:row>712</xdr:row>
      <xdr:rowOff>114300</xdr:rowOff>
    </xdr:to>
    <xdr:sp macro="" textlink="">
      <xdr:nvSpPr>
        <xdr:cNvPr id="5451" name="Arrow: Down 5450">
          <a:extLst>
            <a:ext uri="{FF2B5EF4-FFF2-40B4-BE49-F238E27FC236}">
              <a16:creationId xmlns:a16="http://schemas.microsoft.com/office/drawing/2014/main" id="{B305C872-31D3-4FC0-A91B-A50226E404DB}"/>
            </a:ext>
          </a:extLst>
        </xdr:cNvPr>
        <xdr:cNvSpPr/>
      </xdr:nvSpPr>
      <xdr:spPr>
        <a:xfrm rot="10800000">
          <a:off x="833628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713</xdr:row>
      <xdr:rowOff>0</xdr:rowOff>
    </xdr:from>
    <xdr:to>
      <xdr:col>64</xdr:col>
      <xdr:colOff>83820</xdr:colOff>
      <xdr:row>713</xdr:row>
      <xdr:rowOff>114300</xdr:rowOff>
    </xdr:to>
    <xdr:sp macro="" textlink="">
      <xdr:nvSpPr>
        <xdr:cNvPr id="5460" name="Arrow: Down 5459">
          <a:extLst>
            <a:ext uri="{FF2B5EF4-FFF2-40B4-BE49-F238E27FC236}">
              <a16:creationId xmlns:a16="http://schemas.microsoft.com/office/drawing/2014/main" id="{676CA898-D04D-4BAD-9267-B7696E004359}"/>
            </a:ext>
          </a:extLst>
        </xdr:cNvPr>
        <xdr:cNvSpPr/>
      </xdr:nvSpPr>
      <xdr:spPr>
        <a:xfrm rot="10800000">
          <a:off x="19347180" y="130309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713</xdr:row>
      <xdr:rowOff>0</xdr:rowOff>
    </xdr:from>
    <xdr:to>
      <xdr:col>45</xdr:col>
      <xdr:colOff>83820</xdr:colOff>
      <xdr:row>713</xdr:row>
      <xdr:rowOff>114300</xdr:rowOff>
    </xdr:to>
    <xdr:sp macro="" textlink="">
      <xdr:nvSpPr>
        <xdr:cNvPr id="5461" name="Arrow: Down 5460">
          <a:extLst>
            <a:ext uri="{FF2B5EF4-FFF2-40B4-BE49-F238E27FC236}">
              <a16:creationId xmlns:a16="http://schemas.microsoft.com/office/drawing/2014/main" id="{19C83B23-4F74-49DE-86B3-0E354F37E6CD}"/>
            </a:ext>
          </a:extLst>
        </xdr:cNvPr>
        <xdr:cNvSpPr/>
      </xdr:nvSpPr>
      <xdr:spPr>
        <a:xfrm rot="10800000">
          <a:off x="13403580" y="1303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713</xdr:row>
      <xdr:rowOff>0</xdr:rowOff>
    </xdr:from>
    <xdr:to>
      <xdr:col>71</xdr:col>
      <xdr:colOff>83820</xdr:colOff>
      <xdr:row>713</xdr:row>
      <xdr:rowOff>114300</xdr:rowOff>
    </xdr:to>
    <xdr:sp macro="" textlink="">
      <xdr:nvSpPr>
        <xdr:cNvPr id="5462" name="Arrow: Down 5461">
          <a:extLst>
            <a:ext uri="{FF2B5EF4-FFF2-40B4-BE49-F238E27FC236}">
              <a16:creationId xmlns:a16="http://schemas.microsoft.com/office/drawing/2014/main" id="{5623B153-5451-4961-86E7-F96900364C51}"/>
            </a:ext>
          </a:extLst>
        </xdr:cNvPr>
        <xdr:cNvSpPr/>
      </xdr:nvSpPr>
      <xdr:spPr>
        <a:xfrm>
          <a:off x="21960840" y="1303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713</xdr:row>
      <xdr:rowOff>0</xdr:rowOff>
    </xdr:from>
    <xdr:to>
      <xdr:col>39</xdr:col>
      <xdr:colOff>83820</xdr:colOff>
      <xdr:row>713</xdr:row>
      <xdr:rowOff>114300</xdr:rowOff>
    </xdr:to>
    <xdr:sp macro="" textlink="">
      <xdr:nvSpPr>
        <xdr:cNvPr id="5463" name="Arrow: Down 5462">
          <a:extLst>
            <a:ext uri="{FF2B5EF4-FFF2-40B4-BE49-F238E27FC236}">
              <a16:creationId xmlns:a16="http://schemas.microsoft.com/office/drawing/2014/main" id="{FB58AA04-3CD2-40CA-A49A-611E4C9B2C58}"/>
            </a:ext>
          </a:extLst>
        </xdr:cNvPr>
        <xdr:cNvSpPr/>
      </xdr:nvSpPr>
      <xdr:spPr>
        <a:xfrm rot="10800000">
          <a:off x="11544300" y="1303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713</xdr:row>
      <xdr:rowOff>0</xdr:rowOff>
    </xdr:from>
    <xdr:to>
      <xdr:col>60</xdr:col>
      <xdr:colOff>83820</xdr:colOff>
      <xdr:row>713</xdr:row>
      <xdr:rowOff>114300</xdr:rowOff>
    </xdr:to>
    <xdr:sp macro="" textlink="">
      <xdr:nvSpPr>
        <xdr:cNvPr id="5464" name="Arrow: Down 5463">
          <a:extLst>
            <a:ext uri="{FF2B5EF4-FFF2-40B4-BE49-F238E27FC236}">
              <a16:creationId xmlns:a16="http://schemas.microsoft.com/office/drawing/2014/main" id="{3B117ECB-4EDF-4521-8D54-3FD08F51D298}"/>
            </a:ext>
          </a:extLst>
        </xdr:cNvPr>
        <xdr:cNvSpPr/>
      </xdr:nvSpPr>
      <xdr:spPr>
        <a:xfrm>
          <a:off x="19080480" y="1303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713</xdr:row>
      <xdr:rowOff>0</xdr:rowOff>
    </xdr:from>
    <xdr:to>
      <xdr:col>5</xdr:col>
      <xdr:colOff>83820</xdr:colOff>
      <xdr:row>713</xdr:row>
      <xdr:rowOff>114300</xdr:rowOff>
    </xdr:to>
    <xdr:sp macro="" textlink="">
      <xdr:nvSpPr>
        <xdr:cNvPr id="5465" name="Arrow: Down 5464">
          <a:extLst>
            <a:ext uri="{FF2B5EF4-FFF2-40B4-BE49-F238E27FC236}">
              <a16:creationId xmlns:a16="http://schemas.microsoft.com/office/drawing/2014/main" id="{6E34D80E-6C92-4D4E-B6A8-3723D2707627}"/>
            </a:ext>
          </a:extLst>
        </xdr:cNvPr>
        <xdr:cNvSpPr/>
      </xdr:nvSpPr>
      <xdr:spPr>
        <a:xfrm rot="10800000">
          <a:off x="192786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713</xdr:row>
      <xdr:rowOff>0</xdr:rowOff>
    </xdr:from>
    <xdr:to>
      <xdr:col>11</xdr:col>
      <xdr:colOff>83820</xdr:colOff>
      <xdr:row>713</xdr:row>
      <xdr:rowOff>114300</xdr:rowOff>
    </xdr:to>
    <xdr:sp macro="" textlink="">
      <xdr:nvSpPr>
        <xdr:cNvPr id="5466" name="Arrow: Down 5465">
          <a:extLst>
            <a:ext uri="{FF2B5EF4-FFF2-40B4-BE49-F238E27FC236}">
              <a16:creationId xmlns:a16="http://schemas.microsoft.com/office/drawing/2014/main" id="{BCAFD922-817A-426F-9FA0-A8F536A93F33}"/>
            </a:ext>
          </a:extLst>
        </xdr:cNvPr>
        <xdr:cNvSpPr/>
      </xdr:nvSpPr>
      <xdr:spPr>
        <a:xfrm rot="10800000">
          <a:off x="369570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713</xdr:row>
      <xdr:rowOff>0</xdr:rowOff>
    </xdr:from>
    <xdr:to>
      <xdr:col>24</xdr:col>
      <xdr:colOff>83820</xdr:colOff>
      <xdr:row>713</xdr:row>
      <xdr:rowOff>114300</xdr:rowOff>
    </xdr:to>
    <xdr:sp macro="" textlink="">
      <xdr:nvSpPr>
        <xdr:cNvPr id="5467" name="Arrow: Down 5466">
          <a:extLst>
            <a:ext uri="{FF2B5EF4-FFF2-40B4-BE49-F238E27FC236}">
              <a16:creationId xmlns:a16="http://schemas.microsoft.com/office/drawing/2014/main" id="{A8FC526F-2E96-4930-893C-39491DEE5383}"/>
            </a:ext>
          </a:extLst>
        </xdr:cNvPr>
        <xdr:cNvSpPr/>
      </xdr:nvSpPr>
      <xdr:spPr>
        <a:xfrm rot="10800000">
          <a:off x="833628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714</xdr:row>
      <xdr:rowOff>0</xdr:rowOff>
    </xdr:from>
    <xdr:to>
      <xdr:col>64</xdr:col>
      <xdr:colOff>83820</xdr:colOff>
      <xdr:row>714</xdr:row>
      <xdr:rowOff>114300</xdr:rowOff>
    </xdr:to>
    <xdr:sp macro="" textlink="">
      <xdr:nvSpPr>
        <xdr:cNvPr id="5476" name="Arrow: Down 5475">
          <a:extLst>
            <a:ext uri="{FF2B5EF4-FFF2-40B4-BE49-F238E27FC236}">
              <a16:creationId xmlns:a16="http://schemas.microsoft.com/office/drawing/2014/main" id="{D7A6BE25-EB0A-426D-9935-F0B497FED39F}"/>
            </a:ext>
          </a:extLst>
        </xdr:cNvPr>
        <xdr:cNvSpPr/>
      </xdr:nvSpPr>
      <xdr:spPr>
        <a:xfrm rot="10800000">
          <a:off x="19347180" y="130492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714</xdr:row>
      <xdr:rowOff>0</xdr:rowOff>
    </xdr:from>
    <xdr:to>
      <xdr:col>45</xdr:col>
      <xdr:colOff>83820</xdr:colOff>
      <xdr:row>714</xdr:row>
      <xdr:rowOff>114300</xdr:rowOff>
    </xdr:to>
    <xdr:sp macro="" textlink="">
      <xdr:nvSpPr>
        <xdr:cNvPr id="5477" name="Arrow: Down 5476">
          <a:extLst>
            <a:ext uri="{FF2B5EF4-FFF2-40B4-BE49-F238E27FC236}">
              <a16:creationId xmlns:a16="http://schemas.microsoft.com/office/drawing/2014/main" id="{74F7706B-20D3-4FF2-8A18-9A9ADD1E44A0}"/>
            </a:ext>
          </a:extLst>
        </xdr:cNvPr>
        <xdr:cNvSpPr/>
      </xdr:nvSpPr>
      <xdr:spPr>
        <a:xfrm rot="10800000">
          <a:off x="13403580" y="1304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714</xdr:row>
      <xdr:rowOff>0</xdr:rowOff>
    </xdr:from>
    <xdr:to>
      <xdr:col>71</xdr:col>
      <xdr:colOff>83820</xdr:colOff>
      <xdr:row>714</xdr:row>
      <xdr:rowOff>114300</xdr:rowOff>
    </xdr:to>
    <xdr:sp macro="" textlink="">
      <xdr:nvSpPr>
        <xdr:cNvPr id="5478" name="Arrow: Down 5477">
          <a:extLst>
            <a:ext uri="{FF2B5EF4-FFF2-40B4-BE49-F238E27FC236}">
              <a16:creationId xmlns:a16="http://schemas.microsoft.com/office/drawing/2014/main" id="{947D62C4-E54C-4C16-97FC-39FA3B467144}"/>
            </a:ext>
          </a:extLst>
        </xdr:cNvPr>
        <xdr:cNvSpPr/>
      </xdr:nvSpPr>
      <xdr:spPr>
        <a:xfrm>
          <a:off x="21960840" y="1304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714</xdr:row>
      <xdr:rowOff>0</xdr:rowOff>
    </xdr:from>
    <xdr:to>
      <xdr:col>5</xdr:col>
      <xdr:colOff>83820</xdr:colOff>
      <xdr:row>714</xdr:row>
      <xdr:rowOff>114300</xdr:rowOff>
    </xdr:to>
    <xdr:sp macro="" textlink="">
      <xdr:nvSpPr>
        <xdr:cNvPr id="5481" name="Arrow: Down 5480">
          <a:extLst>
            <a:ext uri="{FF2B5EF4-FFF2-40B4-BE49-F238E27FC236}">
              <a16:creationId xmlns:a16="http://schemas.microsoft.com/office/drawing/2014/main" id="{90E5C37D-B1C9-4C8F-BDC8-9E48A7419759}"/>
            </a:ext>
          </a:extLst>
        </xdr:cNvPr>
        <xdr:cNvSpPr/>
      </xdr:nvSpPr>
      <xdr:spPr>
        <a:xfrm rot="10800000">
          <a:off x="192786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714</xdr:row>
      <xdr:rowOff>0</xdr:rowOff>
    </xdr:from>
    <xdr:to>
      <xdr:col>11</xdr:col>
      <xdr:colOff>83820</xdr:colOff>
      <xdr:row>714</xdr:row>
      <xdr:rowOff>114300</xdr:rowOff>
    </xdr:to>
    <xdr:sp macro="" textlink="">
      <xdr:nvSpPr>
        <xdr:cNvPr id="5482" name="Arrow: Down 5481">
          <a:extLst>
            <a:ext uri="{FF2B5EF4-FFF2-40B4-BE49-F238E27FC236}">
              <a16:creationId xmlns:a16="http://schemas.microsoft.com/office/drawing/2014/main" id="{24EC63E5-1CCF-436F-8226-20AA05B8041A}"/>
            </a:ext>
          </a:extLst>
        </xdr:cNvPr>
        <xdr:cNvSpPr/>
      </xdr:nvSpPr>
      <xdr:spPr>
        <a:xfrm rot="10800000">
          <a:off x="369570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714</xdr:row>
      <xdr:rowOff>0</xdr:rowOff>
    </xdr:from>
    <xdr:to>
      <xdr:col>24</xdr:col>
      <xdr:colOff>83820</xdr:colOff>
      <xdr:row>714</xdr:row>
      <xdr:rowOff>114300</xdr:rowOff>
    </xdr:to>
    <xdr:sp macro="" textlink="">
      <xdr:nvSpPr>
        <xdr:cNvPr id="5483" name="Arrow: Down 5482">
          <a:extLst>
            <a:ext uri="{FF2B5EF4-FFF2-40B4-BE49-F238E27FC236}">
              <a16:creationId xmlns:a16="http://schemas.microsoft.com/office/drawing/2014/main" id="{90007094-46C7-4DAB-95AD-B3BACCE4868C}"/>
            </a:ext>
          </a:extLst>
        </xdr:cNvPr>
        <xdr:cNvSpPr/>
      </xdr:nvSpPr>
      <xdr:spPr>
        <a:xfrm rot="10800000">
          <a:off x="833628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714</xdr:row>
      <xdr:rowOff>0</xdr:rowOff>
    </xdr:from>
    <xdr:to>
      <xdr:col>39</xdr:col>
      <xdr:colOff>83820</xdr:colOff>
      <xdr:row>714</xdr:row>
      <xdr:rowOff>114300</xdr:rowOff>
    </xdr:to>
    <xdr:sp macro="" textlink="">
      <xdr:nvSpPr>
        <xdr:cNvPr id="5485" name="Arrow: Down 5484">
          <a:extLst>
            <a:ext uri="{FF2B5EF4-FFF2-40B4-BE49-F238E27FC236}">
              <a16:creationId xmlns:a16="http://schemas.microsoft.com/office/drawing/2014/main" id="{739E9AD8-E4F0-4C5B-A638-7770947733CE}"/>
            </a:ext>
          </a:extLst>
        </xdr:cNvPr>
        <xdr:cNvSpPr/>
      </xdr:nvSpPr>
      <xdr:spPr>
        <a:xfrm>
          <a:off x="1154430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714</xdr:row>
      <xdr:rowOff>0</xdr:rowOff>
    </xdr:from>
    <xdr:to>
      <xdr:col>60</xdr:col>
      <xdr:colOff>83820</xdr:colOff>
      <xdr:row>714</xdr:row>
      <xdr:rowOff>114300</xdr:rowOff>
    </xdr:to>
    <xdr:sp macro="" textlink="">
      <xdr:nvSpPr>
        <xdr:cNvPr id="5487" name="Arrow: Down 5486">
          <a:extLst>
            <a:ext uri="{FF2B5EF4-FFF2-40B4-BE49-F238E27FC236}">
              <a16:creationId xmlns:a16="http://schemas.microsoft.com/office/drawing/2014/main" id="{05838E69-13E7-48B5-B719-526F6F50F1D1}"/>
            </a:ext>
          </a:extLst>
        </xdr:cNvPr>
        <xdr:cNvSpPr/>
      </xdr:nvSpPr>
      <xdr:spPr>
        <a:xfrm rot="10800000">
          <a:off x="1908048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715</xdr:row>
      <xdr:rowOff>0</xdr:rowOff>
    </xdr:from>
    <xdr:to>
      <xdr:col>64</xdr:col>
      <xdr:colOff>83820</xdr:colOff>
      <xdr:row>715</xdr:row>
      <xdr:rowOff>114300</xdr:rowOff>
    </xdr:to>
    <xdr:sp macro="" textlink="">
      <xdr:nvSpPr>
        <xdr:cNvPr id="5488" name="Arrow: Down 5487">
          <a:extLst>
            <a:ext uri="{FF2B5EF4-FFF2-40B4-BE49-F238E27FC236}">
              <a16:creationId xmlns:a16="http://schemas.microsoft.com/office/drawing/2014/main" id="{9702392E-71CA-4C20-BD39-2E801003E0AE}"/>
            </a:ext>
          </a:extLst>
        </xdr:cNvPr>
        <xdr:cNvSpPr/>
      </xdr:nvSpPr>
      <xdr:spPr>
        <a:xfrm rot="10800000">
          <a:off x="19347180" y="130675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715</xdr:row>
      <xdr:rowOff>0</xdr:rowOff>
    </xdr:from>
    <xdr:to>
      <xdr:col>45</xdr:col>
      <xdr:colOff>83820</xdr:colOff>
      <xdr:row>715</xdr:row>
      <xdr:rowOff>114300</xdr:rowOff>
    </xdr:to>
    <xdr:sp macro="" textlink="">
      <xdr:nvSpPr>
        <xdr:cNvPr id="5489" name="Arrow: Down 5488">
          <a:extLst>
            <a:ext uri="{FF2B5EF4-FFF2-40B4-BE49-F238E27FC236}">
              <a16:creationId xmlns:a16="http://schemas.microsoft.com/office/drawing/2014/main" id="{3F7D632E-7B53-43EE-B9E6-476615BD5FA5}"/>
            </a:ext>
          </a:extLst>
        </xdr:cNvPr>
        <xdr:cNvSpPr/>
      </xdr:nvSpPr>
      <xdr:spPr>
        <a:xfrm rot="10800000">
          <a:off x="13403580" y="1306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715</xdr:row>
      <xdr:rowOff>0</xdr:rowOff>
    </xdr:from>
    <xdr:to>
      <xdr:col>71</xdr:col>
      <xdr:colOff>83820</xdr:colOff>
      <xdr:row>715</xdr:row>
      <xdr:rowOff>114300</xdr:rowOff>
    </xdr:to>
    <xdr:sp macro="" textlink="">
      <xdr:nvSpPr>
        <xdr:cNvPr id="5490" name="Arrow: Down 5489">
          <a:extLst>
            <a:ext uri="{FF2B5EF4-FFF2-40B4-BE49-F238E27FC236}">
              <a16:creationId xmlns:a16="http://schemas.microsoft.com/office/drawing/2014/main" id="{90D1F74F-9E43-43C2-9097-A7C17E826099}"/>
            </a:ext>
          </a:extLst>
        </xdr:cNvPr>
        <xdr:cNvSpPr/>
      </xdr:nvSpPr>
      <xdr:spPr>
        <a:xfrm>
          <a:off x="21960840" y="1306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715</xdr:row>
      <xdr:rowOff>0</xdr:rowOff>
    </xdr:from>
    <xdr:to>
      <xdr:col>39</xdr:col>
      <xdr:colOff>83820</xdr:colOff>
      <xdr:row>715</xdr:row>
      <xdr:rowOff>114300</xdr:rowOff>
    </xdr:to>
    <xdr:sp macro="" textlink="">
      <xdr:nvSpPr>
        <xdr:cNvPr id="5494" name="Arrow: Down 5493">
          <a:extLst>
            <a:ext uri="{FF2B5EF4-FFF2-40B4-BE49-F238E27FC236}">
              <a16:creationId xmlns:a16="http://schemas.microsoft.com/office/drawing/2014/main" id="{AF5233FA-3360-495B-B273-60C19BC1DE24}"/>
            </a:ext>
          </a:extLst>
        </xdr:cNvPr>
        <xdr:cNvSpPr/>
      </xdr:nvSpPr>
      <xdr:spPr>
        <a:xfrm>
          <a:off x="1154430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715</xdr:row>
      <xdr:rowOff>0</xdr:rowOff>
    </xdr:from>
    <xdr:to>
      <xdr:col>60</xdr:col>
      <xdr:colOff>83820</xdr:colOff>
      <xdr:row>715</xdr:row>
      <xdr:rowOff>114300</xdr:rowOff>
    </xdr:to>
    <xdr:sp macro="" textlink="">
      <xdr:nvSpPr>
        <xdr:cNvPr id="5498" name="Arrow: Down 5497">
          <a:extLst>
            <a:ext uri="{FF2B5EF4-FFF2-40B4-BE49-F238E27FC236}">
              <a16:creationId xmlns:a16="http://schemas.microsoft.com/office/drawing/2014/main" id="{A598AE18-C4D6-472D-B1C4-9F16803DB6E6}"/>
            </a:ext>
          </a:extLst>
        </xdr:cNvPr>
        <xdr:cNvSpPr/>
      </xdr:nvSpPr>
      <xdr:spPr>
        <a:xfrm>
          <a:off x="190804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715</xdr:row>
      <xdr:rowOff>0</xdr:rowOff>
    </xdr:from>
    <xdr:to>
      <xdr:col>24</xdr:col>
      <xdr:colOff>83820</xdr:colOff>
      <xdr:row>715</xdr:row>
      <xdr:rowOff>114300</xdr:rowOff>
    </xdr:to>
    <xdr:sp macro="" textlink="">
      <xdr:nvSpPr>
        <xdr:cNvPr id="5500" name="Arrow: Down 5499">
          <a:extLst>
            <a:ext uri="{FF2B5EF4-FFF2-40B4-BE49-F238E27FC236}">
              <a16:creationId xmlns:a16="http://schemas.microsoft.com/office/drawing/2014/main" id="{C0927D44-2D1B-4044-849B-43B6AC927877}"/>
            </a:ext>
          </a:extLst>
        </xdr:cNvPr>
        <xdr:cNvSpPr/>
      </xdr:nvSpPr>
      <xdr:spPr>
        <a:xfrm>
          <a:off x="83362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715</xdr:row>
      <xdr:rowOff>0</xdr:rowOff>
    </xdr:from>
    <xdr:to>
      <xdr:col>11</xdr:col>
      <xdr:colOff>83820</xdr:colOff>
      <xdr:row>715</xdr:row>
      <xdr:rowOff>114300</xdr:rowOff>
    </xdr:to>
    <xdr:sp macro="" textlink="">
      <xdr:nvSpPr>
        <xdr:cNvPr id="5502" name="Arrow: Down 5501">
          <a:extLst>
            <a:ext uri="{FF2B5EF4-FFF2-40B4-BE49-F238E27FC236}">
              <a16:creationId xmlns:a16="http://schemas.microsoft.com/office/drawing/2014/main" id="{DD8CBD69-B962-4B32-8B65-01A941A2A456}"/>
            </a:ext>
          </a:extLst>
        </xdr:cNvPr>
        <xdr:cNvSpPr/>
      </xdr:nvSpPr>
      <xdr:spPr>
        <a:xfrm>
          <a:off x="369570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715</xdr:row>
      <xdr:rowOff>0</xdr:rowOff>
    </xdr:from>
    <xdr:to>
      <xdr:col>5</xdr:col>
      <xdr:colOff>83820</xdr:colOff>
      <xdr:row>715</xdr:row>
      <xdr:rowOff>114300</xdr:rowOff>
    </xdr:to>
    <xdr:sp macro="" textlink="">
      <xdr:nvSpPr>
        <xdr:cNvPr id="5504" name="Arrow: Down 5503">
          <a:extLst>
            <a:ext uri="{FF2B5EF4-FFF2-40B4-BE49-F238E27FC236}">
              <a16:creationId xmlns:a16="http://schemas.microsoft.com/office/drawing/2014/main" id="{E4369381-59BD-4CF1-A65C-E5CCE9C23395}"/>
            </a:ext>
          </a:extLst>
        </xdr:cNvPr>
        <xdr:cNvSpPr/>
      </xdr:nvSpPr>
      <xdr:spPr>
        <a:xfrm>
          <a:off x="192786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716</xdr:row>
      <xdr:rowOff>0</xdr:rowOff>
    </xdr:from>
    <xdr:to>
      <xdr:col>64</xdr:col>
      <xdr:colOff>83820</xdr:colOff>
      <xdr:row>716</xdr:row>
      <xdr:rowOff>114300</xdr:rowOff>
    </xdr:to>
    <xdr:sp macro="" textlink="">
      <xdr:nvSpPr>
        <xdr:cNvPr id="5513" name="Arrow: Down 5512">
          <a:extLst>
            <a:ext uri="{FF2B5EF4-FFF2-40B4-BE49-F238E27FC236}">
              <a16:creationId xmlns:a16="http://schemas.microsoft.com/office/drawing/2014/main" id="{BDDE6DE4-87AE-4150-B301-63DF656D6B84}"/>
            </a:ext>
          </a:extLst>
        </xdr:cNvPr>
        <xdr:cNvSpPr/>
      </xdr:nvSpPr>
      <xdr:spPr>
        <a:xfrm rot="10800000">
          <a:off x="19347180" y="130858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716</xdr:row>
      <xdr:rowOff>0</xdr:rowOff>
    </xdr:from>
    <xdr:to>
      <xdr:col>45</xdr:col>
      <xdr:colOff>83820</xdr:colOff>
      <xdr:row>716</xdr:row>
      <xdr:rowOff>114300</xdr:rowOff>
    </xdr:to>
    <xdr:sp macro="" textlink="">
      <xdr:nvSpPr>
        <xdr:cNvPr id="5514" name="Arrow: Down 5513">
          <a:extLst>
            <a:ext uri="{FF2B5EF4-FFF2-40B4-BE49-F238E27FC236}">
              <a16:creationId xmlns:a16="http://schemas.microsoft.com/office/drawing/2014/main" id="{FA227C81-7FB9-4BE2-B22D-02809E69C9E8}"/>
            </a:ext>
          </a:extLst>
        </xdr:cNvPr>
        <xdr:cNvSpPr/>
      </xdr:nvSpPr>
      <xdr:spPr>
        <a:xfrm rot="10800000">
          <a:off x="13403580" y="130858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716</xdr:row>
      <xdr:rowOff>0</xdr:rowOff>
    </xdr:from>
    <xdr:to>
      <xdr:col>71</xdr:col>
      <xdr:colOff>83820</xdr:colOff>
      <xdr:row>716</xdr:row>
      <xdr:rowOff>114300</xdr:rowOff>
    </xdr:to>
    <xdr:sp macro="" textlink="">
      <xdr:nvSpPr>
        <xdr:cNvPr id="5515" name="Arrow: Down 5514">
          <a:extLst>
            <a:ext uri="{FF2B5EF4-FFF2-40B4-BE49-F238E27FC236}">
              <a16:creationId xmlns:a16="http://schemas.microsoft.com/office/drawing/2014/main" id="{8B831256-FE68-4C46-A72A-B2AF73D4A7AA}"/>
            </a:ext>
          </a:extLst>
        </xdr:cNvPr>
        <xdr:cNvSpPr/>
      </xdr:nvSpPr>
      <xdr:spPr>
        <a:xfrm>
          <a:off x="2196084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716</xdr:row>
      <xdr:rowOff>0</xdr:rowOff>
    </xdr:from>
    <xdr:to>
      <xdr:col>39</xdr:col>
      <xdr:colOff>83820</xdr:colOff>
      <xdr:row>716</xdr:row>
      <xdr:rowOff>114300</xdr:rowOff>
    </xdr:to>
    <xdr:sp macro="" textlink="">
      <xdr:nvSpPr>
        <xdr:cNvPr id="5516" name="Arrow: Down 5515">
          <a:extLst>
            <a:ext uri="{FF2B5EF4-FFF2-40B4-BE49-F238E27FC236}">
              <a16:creationId xmlns:a16="http://schemas.microsoft.com/office/drawing/2014/main" id="{3C1C582F-9559-4198-BE13-5EFBC857636A}"/>
            </a:ext>
          </a:extLst>
        </xdr:cNvPr>
        <xdr:cNvSpPr/>
      </xdr:nvSpPr>
      <xdr:spPr>
        <a:xfrm>
          <a:off x="11544300" y="1308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716</xdr:row>
      <xdr:rowOff>0</xdr:rowOff>
    </xdr:from>
    <xdr:to>
      <xdr:col>60</xdr:col>
      <xdr:colOff>83820</xdr:colOff>
      <xdr:row>716</xdr:row>
      <xdr:rowOff>114300</xdr:rowOff>
    </xdr:to>
    <xdr:sp macro="" textlink="">
      <xdr:nvSpPr>
        <xdr:cNvPr id="5517" name="Arrow: Down 5516">
          <a:extLst>
            <a:ext uri="{FF2B5EF4-FFF2-40B4-BE49-F238E27FC236}">
              <a16:creationId xmlns:a16="http://schemas.microsoft.com/office/drawing/2014/main" id="{36672365-39E2-4477-BEF4-3AED8D3221B5}"/>
            </a:ext>
          </a:extLst>
        </xdr:cNvPr>
        <xdr:cNvSpPr/>
      </xdr:nvSpPr>
      <xdr:spPr>
        <a:xfrm>
          <a:off x="190804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716</xdr:row>
      <xdr:rowOff>0</xdr:rowOff>
    </xdr:from>
    <xdr:to>
      <xdr:col>24</xdr:col>
      <xdr:colOff>83820</xdr:colOff>
      <xdr:row>716</xdr:row>
      <xdr:rowOff>114300</xdr:rowOff>
    </xdr:to>
    <xdr:sp macro="" textlink="">
      <xdr:nvSpPr>
        <xdr:cNvPr id="5522" name="Arrow: Down 5521">
          <a:extLst>
            <a:ext uri="{FF2B5EF4-FFF2-40B4-BE49-F238E27FC236}">
              <a16:creationId xmlns:a16="http://schemas.microsoft.com/office/drawing/2014/main" id="{E95F0846-6559-4DB7-A0E8-479A3832B656}"/>
            </a:ext>
          </a:extLst>
        </xdr:cNvPr>
        <xdr:cNvSpPr/>
      </xdr:nvSpPr>
      <xdr:spPr>
        <a:xfrm rot="10800000">
          <a:off x="833628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716</xdr:row>
      <xdr:rowOff>0</xdr:rowOff>
    </xdr:from>
    <xdr:to>
      <xdr:col>5</xdr:col>
      <xdr:colOff>83820</xdr:colOff>
      <xdr:row>716</xdr:row>
      <xdr:rowOff>114300</xdr:rowOff>
    </xdr:to>
    <xdr:sp macro="" textlink="">
      <xdr:nvSpPr>
        <xdr:cNvPr id="5524" name="Arrow: Down 5523">
          <a:extLst>
            <a:ext uri="{FF2B5EF4-FFF2-40B4-BE49-F238E27FC236}">
              <a16:creationId xmlns:a16="http://schemas.microsoft.com/office/drawing/2014/main" id="{24F63F86-01A9-4258-8AB4-2A877BEEBC17}"/>
            </a:ext>
          </a:extLst>
        </xdr:cNvPr>
        <xdr:cNvSpPr/>
      </xdr:nvSpPr>
      <xdr:spPr>
        <a:xfrm rot="10800000">
          <a:off x="192786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716</xdr:row>
      <xdr:rowOff>0</xdr:rowOff>
    </xdr:from>
    <xdr:to>
      <xdr:col>11</xdr:col>
      <xdr:colOff>83820</xdr:colOff>
      <xdr:row>716</xdr:row>
      <xdr:rowOff>114300</xdr:rowOff>
    </xdr:to>
    <xdr:sp macro="" textlink="">
      <xdr:nvSpPr>
        <xdr:cNvPr id="5525" name="Arrow: Down 5524">
          <a:extLst>
            <a:ext uri="{FF2B5EF4-FFF2-40B4-BE49-F238E27FC236}">
              <a16:creationId xmlns:a16="http://schemas.microsoft.com/office/drawing/2014/main" id="{30F585A2-166A-48A7-8243-2F00B40D1FF6}"/>
            </a:ext>
          </a:extLst>
        </xdr:cNvPr>
        <xdr:cNvSpPr/>
      </xdr:nvSpPr>
      <xdr:spPr>
        <a:xfrm rot="10800000">
          <a:off x="369570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717</xdr:row>
      <xdr:rowOff>0</xdr:rowOff>
    </xdr:from>
    <xdr:to>
      <xdr:col>64</xdr:col>
      <xdr:colOff>83820</xdr:colOff>
      <xdr:row>717</xdr:row>
      <xdr:rowOff>114300</xdr:rowOff>
    </xdr:to>
    <xdr:sp macro="" textlink="">
      <xdr:nvSpPr>
        <xdr:cNvPr id="5542" name="Arrow: Down 5541">
          <a:extLst>
            <a:ext uri="{FF2B5EF4-FFF2-40B4-BE49-F238E27FC236}">
              <a16:creationId xmlns:a16="http://schemas.microsoft.com/office/drawing/2014/main" id="{F770EE3B-E0E1-4003-9F8A-5145DBA3F013}"/>
            </a:ext>
          </a:extLst>
        </xdr:cNvPr>
        <xdr:cNvSpPr/>
      </xdr:nvSpPr>
      <xdr:spPr>
        <a:xfrm rot="10800000">
          <a:off x="19347180" y="131041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717</xdr:row>
      <xdr:rowOff>0</xdr:rowOff>
    </xdr:from>
    <xdr:to>
      <xdr:col>45</xdr:col>
      <xdr:colOff>83820</xdr:colOff>
      <xdr:row>717</xdr:row>
      <xdr:rowOff>114300</xdr:rowOff>
    </xdr:to>
    <xdr:sp macro="" textlink="">
      <xdr:nvSpPr>
        <xdr:cNvPr id="5543" name="Arrow: Down 5542">
          <a:extLst>
            <a:ext uri="{FF2B5EF4-FFF2-40B4-BE49-F238E27FC236}">
              <a16:creationId xmlns:a16="http://schemas.microsoft.com/office/drawing/2014/main" id="{836C851D-D924-4240-A147-6DA3252BD5BA}"/>
            </a:ext>
          </a:extLst>
        </xdr:cNvPr>
        <xdr:cNvSpPr/>
      </xdr:nvSpPr>
      <xdr:spPr>
        <a:xfrm rot="10800000">
          <a:off x="13403580" y="131041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717</xdr:row>
      <xdr:rowOff>0</xdr:rowOff>
    </xdr:from>
    <xdr:to>
      <xdr:col>71</xdr:col>
      <xdr:colOff>83820</xdr:colOff>
      <xdr:row>717</xdr:row>
      <xdr:rowOff>114300</xdr:rowOff>
    </xdr:to>
    <xdr:sp macro="" textlink="">
      <xdr:nvSpPr>
        <xdr:cNvPr id="5544" name="Arrow: Down 5543">
          <a:extLst>
            <a:ext uri="{FF2B5EF4-FFF2-40B4-BE49-F238E27FC236}">
              <a16:creationId xmlns:a16="http://schemas.microsoft.com/office/drawing/2014/main" id="{C4E2AE6C-2BC5-485D-8D95-05E818ECECA4}"/>
            </a:ext>
          </a:extLst>
        </xdr:cNvPr>
        <xdr:cNvSpPr/>
      </xdr:nvSpPr>
      <xdr:spPr>
        <a:xfrm>
          <a:off x="21960840" y="1310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717</xdr:row>
      <xdr:rowOff>0</xdr:rowOff>
    </xdr:from>
    <xdr:to>
      <xdr:col>39</xdr:col>
      <xdr:colOff>83820</xdr:colOff>
      <xdr:row>717</xdr:row>
      <xdr:rowOff>114300</xdr:rowOff>
    </xdr:to>
    <xdr:sp macro="" textlink="">
      <xdr:nvSpPr>
        <xdr:cNvPr id="5545" name="Arrow: Down 5544">
          <a:extLst>
            <a:ext uri="{FF2B5EF4-FFF2-40B4-BE49-F238E27FC236}">
              <a16:creationId xmlns:a16="http://schemas.microsoft.com/office/drawing/2014/main" id="{16E732FB-D4F0-4E4A-83AD-1BCFC35CACEE}"/>
            </a:ext>
          </a:extLst>
        </xdr:cNvPr>
        <xdr:cNvSpPr/>
      </xdr:nvSpPr>
      <xdr:spPr>
        <a:xfrm>
          <a:off x="1154430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717</xdr:row>
      <xdr:rowOff>0</xdr:rowOff>
    </xdr:from>
    <xdr:to>
      <xdr:col>60</xdr:col>
      <xdr:colOff>83820</xdr:colOff>
      <xdr:row>717</xdr:row>
      <xdr:rowOff>114300</xdr:rowOff>
    </xdr:to>
    <xdr:sp macro="" textlink="">
      <xdr:nvSpPr>
        <xdr:cNvPr id="5550" name="Arrow: Down 5549">
          <a:extLst>
            <a:ext uri="{FF2B5EF4-FFF2-40B4-BE49-F238E27FC236}">
              <a16:creationId xmlns:a16="http://schemas.microsoft.com/office/drawing/2014/main" id="{F5915253-1054-414B-BBB9-864B10B6A262}"/>
            </a:ext>
          </a:extLst>
        </xdr:cNvPr>
        <xdr:cNvSpPr/>
      </xdr:nvSpPr>
      <xdr:spPr>
        <a:xfrm rot="10800000">
          <a:off x="19080480" y="1312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717</xdr:row>
      <xdr:rowOff>0</xdr:rowOff>
    </xdr:from>
    <xdr:to>
      <xdr:col>24</xdr:col>
      <xdr:colOff>83820</xdr:colOff>
      <xdr:row>717</xdr:row>
      <xdr:rowOff>114300</xdr:rowOff>
    </xdr:to>
    <xdr:sp macro="" textlink="">
      <xdr:nvSpPr>
        <xdr:cNvPr id="5552" name="Arrow: Down 5551">
          <a:extLst>
            <a:ext uri="{FF2B5EF4-FFF2-40B4-BE49-F238E27FC236}">
              <a16:creationId xmlns:a16="http://schemas.microsoft.com/office/drawing/2014/main" id="{C9FCD527-A3E8-4170-84DE-2599AB59BC2C}"/>
            </a:ext>
          </a:extLst>
        </xdr:cNvPr>
        <xdr:cNvSpPr/>
      </xdr:nvSpPr>
      <xdr:spPr>
        <a:xfrm>
          <a:off x="833628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717</xdr:row>
      <xdr:rowOff>0</xdr:rowOff>
    </xdr:from>
    <xdr:to>
      <xdr:col>11</xdr:col>
      <xdr:colOff>83820</xdr:colOff>
      <xdr:row>717</xdr:row>
      <xdr:rowOff>114300</xdr:rowOff>
    </xdr:to>
    <xdr:sp macro="" textlink="">
      <xdr:nvSpPr>
        <xdr:cNvPr id="5553" name="Arrow: Down 5552">
          <a:extLst>
            <a:ext uri="{FF2B5EF4-FFF2-40B4-BE49-F238E27FC236}">
              <a16:creationId xmlns:a16="http://schemas.microsoft.com/office/drawing/2014/main" id="{181E6954-755B-4F65-A704-175ADBB8C68F}"/>
            </a:ext>
          </a:extLst>
        </xdr:cNvPr>
        <xdr:cNvSpPr/>
      </xdr:nvSpPr>
      <xdr:spPr>
        <a:xfrm>
          <a:off x="369570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717</xdr:row>
      <xdr:rowOff>0</xdr:rowOff>
    </xdr:from>
    <xdr:to>
      <xdr:col>5</xdr:col>
      <xdr:colOff>83820</xdr:colOff>
      <xdr:row>717</xdr:row>
      <xdr:rowOff>114300</xdr:rowOff>
    </xdr:to>
    <xdr:sp macro="" textlink="">
      <xdr:nvSpPr>
        <xdr:cNvPr id="5554" name="Arrow: Down 5553">
          <a:extLst>
            <a:ext uri="{FF2B5EF4-FFF2-40B4-BE49-F238E27FC236}">
              <a16:creationId xmlns:a16="http://schemas.microsoft.com/office/drawing/2014/main" id="{F67BFAFD-FF86-4669-B1BF-EBE336588A3A}"/>
            </a:ext>
          </a:extLst>
        </xdr:cNvPr>
        <xdr:cNvSpPr/>
      </xdr:nvSpPr>
      <xdr:spPr>
        <a:xfrm>
          <a:off x="192786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718</xdr:row>
      <xdr:rowOff>0</xdr:rowOff>
    </xdr:from>
    <xdr:to>
      <xdr:col>64</xdr:col>
      <xdr:colOff>83820</xdr:colOff>
      <xdr:row>718</xdr:row>
      <xdr:rowOff>114300</xdr:rowOff>
    </xdr:to>
    <xdr:sp macro="" textlink="">
      <xdr:nvSpPr>
        <xdr:cNvPr id="5555" name="Arrow: Down 5554">
          <a:extLst>
            <a:ext uri="{FF2B5EF4-FFF2-40B4-BE49-F238E27FC236}">
              <a16:creationId xmlns:a16="http://schemas.microsoft.com/office/drawing/2014/main" id="{FE0D5075-76F7-42A6-A9F1-016B63388EFB}"/>
            </a:ext>
          </a:extLst>
        </xdr:cNvPr>
        <xdr:cNvSpPr/>
      </xdr:nvSpPr>
      <xdr:spPr>
        <a:xfrm rot="10800000">
          <a:off x="19347180" y="131224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718</xdr:row>
      <xdr:rowOff>0</xdr:rowOff>
    </xdr:from>
    <xdr:to>
      <xdr:col>45</xdr:col>
      <xdr:colOff>83820</xdr:colOff>
      <xdr:row>718</xdr:row>
      <xdr:rowOff>114300</xdr:rowOff>
    </xdr:to>
    <xdr:sp macro="" textlink="">
      <xdr:nvSpPr>
        <xdr:cNvPr id="5556" name="Arrow: Down 5555">
          <a:extLst>
            <a:ext uri="{FF2B5EF4-FFF2-40B4-BE49-F238E27FC236}">
              <a16:creationId xmlns:a16="http://schemas.microsoft.com/office/drawing/2014/main" id="{C6B646FA-C1FE-4767-B37D-E4BC5530BCFD}"/>
            </a:ext>
          </a:extLst>
        </xdr:cNvPr>
        <xdr:cNvSpPr/>
      </xdr:nvSpPr>
      <xdr:spPr>
        <a:xfrm rot="10800000">
          <a:off x="13403580" y="131224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718</xdr:row>
      <xdr:rowOff>0</xdr:rowOff>
    </xdr:from>
    <xdr:to>
      <xdr:col>71</xdr:col>
      <xdr:colOff>83820</xdr:colOff>
      <xdr:row>718</xdr:row>
      <xdr:rowOff>114300</xdr:rowOff>
    </xdr:to>
    <xdr:sp macro="" textlink="">
      <xdr:nvSpPr>
        <xdr:cNvPr id="5557" name="Arrow: Down 5556">
          <a:extLst>
            <a:ext uri="{FF2B5EF4-FFF2-40B4-BE49-F238E27FC236}">
              <a16:creationId xmlns:a16="http://schemas.microsoft.com/office/drawing/2014/main" id="{D4FCDE2A-8502-4650-A1D5-0E0ACC5A7ED3}"/>
            </a:ext>
          </a:extLst>
        </xdr:cNvPr>
        <xdr:cNvSpPr/>
      </xdr:nvSpPr>
      <xdr:spPr>
        <a:xfrm>
          <a:off x="2196084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718</xdr:row>
      <xdr:rowOff>0</xdr:rowOff>
    </xdr:from>
    <xdr:to>
      <xdr:col>39</xdr:col>
      <xdr:colOff>83820</xdr:colOff>
      <xdr:row>718</xdr:row>
      <xdr:rowOff>114300</xdr:rowOff>
    </xdr:to>
    <xdr:sp macro="" textlink="">
      <xdr:nvSpPr>
        <xdr:cNvPr id="5558" name="Arrow: Down 5557">
          <a:extLst>
            <a:ext uri="{FF2B5EF4-FFF2-40B4-BE49-F238E27FC236}">
              <a16:creationId xmlns:a16="http://schemas.microsoft.com/office/drawing/2014/main" id="{A63B5904-B7FA-46A8-8AE5-494CC049E1FA}"/>
            </a:ext>
          </a:extLst>
        </xdr:cNvPr>
        <xdr:cNvSpPr/>
      </xdr:nvSpPr>
      <xdr:spPr>
        <a:xfrm>
          <a:off x="11544300" y="1312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718</xdr:row>
      <xdr:rowOff>0</xdr:rowOff>
    </xdr:from>
    <xdr:to>
      <xdr:col>24</xdr:col>
      <xdr:colOff>83820</xdr:colOff>
      <xdr:row>718</xdr:row>
      <xdr:rowOff>114300</xdr:rowOff>
    </xdr:to>
    <xdr:sp macro="" textlink="">
      <xdr:nvSpPr>
        <xdr:cNvPr id="5560" name="Arrow: Down 5559">
          <a:extLst>
            <a:ext uri="{FF2B5EF4-FFF2-40B4-BE49-F238E27FC236}">
              <a16:creationId xmlns:a16="http://schemas.microsoft.com/office/drawing/2014/main" id="{8AA98A73-72ED-4878-B4DE-000534F44274}"/>
            </a:ext>
          </a:extLst>
        </xdr:cNvPr>
        <xdr:cNvSpPr/>
      </xdr:nvSpPr>
      <xdr:spPr>
        <a:xfrm>
          <a:off x="833628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718</xdr:row>
      <xdr:rowOff>0</xdr:rowOff>
    </xdr:from>
    <xdr:to>
      <xdr:col>11</xdr:col>
      <xdr:colOff>83820</xdr:colOff>
      <xdr:row>718</xdr:row>
      <xdr:rowOff>114300</xdr:rowOff>
    </xdr:to>
    <xdr:sp macro="" textlink="">
      <xdr:nvSpPr>
        <xdr:cNvPr id="5561" name="Arrow: Down 5560">
          <a:extLst>
            <a:ext uri="{FF2B5EF4-FFF2-40B4-BE49-F238E27FC236}">
              <a16:creationId xmlns:a16="http://schemas.microsoft.com/office/drawing/2014/main" id="{656CE1BF-EA77-4000-91EC-AF85351212FB}"/>
            </a:ext>
          </a:extLst>
        </xdr:cNvPr>
        <xdr:cNvSpPr/>
      </xdr:nvSpPr>
      <xdr:spPr>
        <a:xfrm>
          <a:off x="369570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718</xdr:row>
      <xdr:rowOff>0</xdr:rowOff>
    </xdr:from>
    <xdr:to>
      <xdr:col>5</xdr:col>
      <xdr:colOff>83820</xdr:colOff>
      <xdr:row>718</xdr:row>
      <xdr:rowOff>114300</xdr:rowOff>
    </xdr:to>
    <xdr:sp macro="" textlink="">
      <xdr:nvSpPr>
        <xdr:cNvPr id="5562" name="Arrow: Down 5561">
          <a:extLst>
            <a:ext uri="{FF2B5EF4-FFF2-40B4-BE49-F238E27FC236}">
              <a16:creationId xmlns:a16="http://schemas.microsoft.com/office/drawing/2014/main" id="{17117986-7E9B-4902-BC9A-E882B39C98B9}"/>
            </a:ext>
          </a:extLst>
        </xdr:cNvPr>
        <xdr:cNvSpPr/>
      </xdr:nvSpPr>
      <xdr:spPr>
        <a:xfrm>
          <a:off x="192786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718</xdr:row>
      <xdr:rowOff>0</xdr:rowOff>
    </xdr:from>
    <xdr:to>
      <xdr:col>60</xdr:col>
      <xdr:colOff>83820</xdr:colOff>
      <xdr:row>718</xdr:row>
      <xdr:rowOff>114300</xdr:rowOff>
    </xdr:to>
    <xdr:sp macro="" textlink="">
      <xdr:nvSpPr>
        <xdr:cNvPr id="5564" name="Arrow: Down 5563">
          <a:extLst>
            <a:ext uri="{FF2B5EF4-FFF2-40B4-BE49-F238E27FC236}">
              <a16:creationId xmlns:a16="http://schemas.microsoft.com/office/drawing/2014/main" id="{60236B9D-C851-4113-98E6-2808593D2698}"/>
            </a:ext>
          </a:extLst>
        </xdr:cNvPr>
        <xdr:cNvSpPr/>
      </xdr:nvSpPr>
      <xdr:spPr>
        <a:xfrm>
          <a:off x="1908048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719</xdr:row>
      <xdr:rowOff>0</xdr:rowOff>
    </xdr:from>
    <xdr:to>
      <xdr:col>64</xdr:col>
      <xdr:colOff>83820</xdr:colOff>
      <xdr:row>719</xdr:row>
      <xdr:rowOff>114300</xdr:rowOff>
    </xdr:to>
    <xdr:sp macro="" textlink="">
      <xdr:nvSpPr>
        <xdr:cNvPr id="5192" name="Arrow: Down 5191">
          <a:extLst>
            <a:ext uri="{FF2B5EF4-FFF2-40B4-BE49-F238E27FC236}">
              <a16:creationId xmlns:a16="http://schemas.microsoft.com/office/drawing/2014/main" id="{A53659C6-78FA-4B7F-A0A0-7CC6A291129D}"/>
            </a:ext>
          </a:extLst>
        </xdr:cNvPr>
        <xdr:cNvSpPr/>
      </xdr:nvSpPr>
      <xdr:spPr>
        <a:xfrm rot="10800000">
          <a:off x="19347180" y="131406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719</xdr:row>
      <xdr:rowOff>0</xdr:rowOff>
    </xdr:from>
    <xdr:to>
      <xdr:col>45</xdr:col>
      <xdr:colOff>83820</xdr:colOff>
      <xdr:row>719</xdr:row>
      <xdr:rowOff>114300</xdr:rowOff>
    </xdr:to>
    <xdr:sp macro="" textlink="">
      <xdr:nvSpPr>
        <xdr:cNvPr id="5197" name="Arrow: Down 5196">
          <a:extLst>
            <a:ext uri="{FF2B5EF4-FFF2-40B4-BE49-F238E27FC236}">
              <a16:creationId xmlns:a16="http://schemas.microsoft.com/office/drawing/2014/main" id="{DD62CFB7-3067-40F0-B0CA-F062D095CAD0}"/>
            </a:ext>
          </a:extLst>
        </xdr:cNvPr>
        <xdr:cNvSpPr/>
      </xdr:nvSpPr>
      <xdr:spPr>
        <a:xfrm rot="10800000">
          <a:off x="13403580" y="131406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719</xdr:row>
      <xdr:rowOff>0</xdr:rowOff>
    </xdr:from>
    <xdr:to>
      <xdr:col>71</xdr:col>
      <xdr:colOff>83820</xdr:colOff>
      <xdr:row>719</xdr:row>
      <xdr:rowOff>114300</xdr:rowOff>
    </xdr:to>
    <xdr:sp macro="" textlink="">
      <xdr:nvSpPr>
        <xdr:cNvPr id="5199" name="Arrow: Down 5198">
          <a:extLst>
            <a:ext uri="{FF2B5EF4-FFF2-40B4-BE49-F238E27FC236}">
              <a16:creationId xmlns:a16="http://schemas.microsoft.com/office/drawing/2014/main" id="{DF6E3BE0-6A83-4724-ADE2-D3803E96CEF2}"/>
            </a:ext>
          </a:extLst>
        </xdr:cNvPr>
        <xdr:cNvSpPr/>
      </xdr:nvSpPr>
      <xdr:spPr>
        <a:xfrm>
          <a:off x="2196084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719</xdr:row>
      <xdr:rowOff>0</xdr:rowOff>
    </xdr:from>
    <xdr:to>
      <xdr:col>60</xdr:col>
      <xdr:colOff>83820</xdr:colOff>
      <xdr:row>719</xdr:row>
      <xdr:rowOff>114300</xdr:rowOff>
    </xdr:to>
    <xdr:sp macro="" textlink="">
      <xdr:nvSpPr>
        <xdr:cNvPr id="5221" name="Arrow: Down 5220">
          <a:extLst>
            <a:ext uri="{FF2B5EF4-FFF2-40B4-BE49-F238E27FC236}">
              <a16:creationId xmlns:a16="http://schemas.microsoft.com/office/drawing/2014/main" id="{53AF8E26-2BE5-4CBF-9E94-135C8E54E793}"/>
            </a:ext>
          </a:extLst>
        </xdr:cNvPr>
        <xdr:cNvSpPr/>
      </xdr:nvSpPr>
      <xdr:spPr>
        <a:xfrm>
          <a:off x="1908048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719</xdr:row>
      <xdr:rowOff>0</xdr:rowOff>
    </xdr:from>
    <xdr:to>
      <xdr:col>11</xdr:col>
      <xdr:colOff>83820</xdr:colOff>
      <xdr:row>719</xdr:row>
      <xdr:rowOff>114300</xdr:rowOff>
    </xdr:to>
    <xdr:sp macro="" textlink="">
      <xdr:nvSpPr>
        <xdr:cNvPr id="5232" name="Arrow: Down 5231">
          <a:extLst>
            <a:ext uri="{FF2B5EF4-FFF2-40B4-BE49-F238E27FC236}">
              <a16:creationId xmlns:a16="http://schemas.microsoft.com/office/drawing/2014/main" id="{688CA1D7-6081-4894-97E7-B2AD75E2367E}"/>
            </a:ext>
          </a:extLst>
        </xdr:cNvPr>
        <xdr:cNvSpPr/>
      </xdr:nvSpPr>
      <xdr:spPr>
        <a:xfrm rot="10800000">
          <a:off x="369570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719</xdr:row>
      <xdr:rowOff>0</xdr:rowOff>
    </xdr:from>
    <xdr:to>
      <xdr:col>5</xdr:col>
      <xdr:colOff>83820</xdr:colOff>
      <xdr:row>719</xdr:row>
      <xdr:rowOff>114300</xdr:rowOff>
    </xdr:to>
    <xdr:sp macro="" textlink="">
      <xdr:nvSpPr>
        <xdr:cNvPr id="5236" name="Arrow: Down 5235">
          <a:extLst>
            <a:ext uri="{FF2B5EF4-FFF2-40B4-BE49-F238E27FC236}">
              <a16:creationId xmlns:a16="http://schemas.microsoft.com/office/drawing/2014/main" id="{05295549-26CA-4231-B0DB-8F58319766B2}"/>
            </a:ext>
          </a:extLst>
        </xdr:cNvPr>
        <xdr:cNvSpPr/>
      </xdr:nvSpPr>
      <xdr:spPr>
        <a:xfrm rot="10800000">
          <a:off x="192786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719</xdr:row>
      <xdr:rowOff>0</xdr:rowOff>
    </xdr:from>
    <xdr:to>
      <xdr:col>24</xdr:col>
      <xdr:colOff>83820</xdr:colOff>
      <xdr:row>719</xdr:row>
      <xdr:rowOff>114300</xdr:rowOff>
    </xdr:to>
    <xdr:sp macro="" textlink="">
      <xdr:nvSpPr>
        <xdr:cNvPr id="5242" name="Arrow: Down 5241">
          <a:extLst>
            <a:ext uri="{FF2B5EF4-FFF2-40B4-BE49-F238E27FC236}">
              <a16:creationId xmlns:a16="http://schemas.microsoft.com/office/drawing/2014/main" id="{A7AF80FD-BEE1-42D7-933C-8EFC65E5B6B0}"/>
            </a:ext>
          </a:extLst>
        </xdr:cNvPr>
        <xdr:cNvSpPr/>
      </xdr:nvSpPr>
      <xdr:spPr>
        <a:xfrm rot="10800000">
          <a:off x="833628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719</xdr:row>
      <xdr:rowOff>0</xdr:rowOff>
    </xdr:from>
    <xdr:to>
      <xdr:col>39</xdr:col>
      <xdr:colOff>83820</xdr:colOff>
      <xdr:row>719</xdr:row>
      <xdr:rowOff>114300</xdr:rowOff>
    </xdr:to>
    <xdr:sp macro="" textlink="">
      <xdr:nvSpPr>
        <xdr:cNvPr id="5249" name="Arrow: Down 5248">
          <a:extLst>
            <a:ext uri="{FF2B5EF4-FFF2-40B4-BE49-F238E27FC236}">
              <a16:creationId xmlns:a16="http://schemas.microsoft.com/office/drawing/2014/main" id="{DDC9BDA9-E5B4-4740-8D2B-9861C0C09C28}"/>
            </a:ext>
          </a:extLst>
        </xdr:cNvPr>
        <xdr:cNvSpPr/>
      </xdr:nvSpPr>
      <xdr:spPr>
        <a:xfrm rot="10800000">
          <a:off x="11544300" y="1315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720</xdr:row>
      <xdr:rowOff>0</xdr:rowOff>
    </xdr:from>
    <xdr:to>
      <xdr:col>64</xdr:col>
      <xdr:colOff>83820</xdr:colOff>
      <xdr:row>720</xdr:row>
      <xdr:rowOff>114300</xdr:rowOff>
    </xdr:to>
    <xdr:sp macro="" textlink="">
      <xdr:nvSpPr>
        <xdr:cNvPr id="5253" name="Arrow: Down 5252">
          <a:extLst>
            <a:ext uri="{FF2B5EF4-FFF2-40B4-BE49-F238E27FC236}">
              <a16:creationId xmlns:a16="http://schemas.microsoft.com/office/drawing/2014/main" id="{38772C61-B640-46D9-B0C3-E07EFE3D6E89}"/>
            </a:ext>
          </a:extLst>
        </xdr:cNvPr>
        <xdr:cNvSpPr/>
      </xdr:nvSpPr>
      <xdr:spPr>
        <a:xfrm rot="10800000">
          <a:off x="19347180" y="131589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720</xdr:row>
      <xdr:rowOff>0</xdr:rowOff>
    </xdr:from>
    <xdr:to>
      <xdr:col>45</xdr:col>
      <xdr:colOff>83820</xdr:colOff>
      <xdr:row>720</xdr:row>
      <xdr:rowOff>114300</xdr:rowOff>
    </xdr:to>
    <xdr:sp macro="" textlink="">
      <xdr:nvSpPr>
        <xdr:cNvPr id="5259" name="Arrow: Down 5258">
          <a:extLst>
            <a:ext uri="{FF2B5EF4-FFF2-40B4-BE49-F238E27FC236}">
              <a16:creationId xmlns:a16="http://schemas.microsoft.com/office/drawing/2014/main" id="{33DD45F8-EE1C-4989-A8A8-5D92CC1B8D92}"/>
            </a:ext>
          </a:extLst>
        </xdr:cNvPr>
        <xdr:cNvSpPr/>
      </xdr:nvSpPr>
      <xdr:spPr>
        <a:xfrm rot="10800000">
          <a:off x="13403580" y="1315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720</xdr:row>
      <xdr:rowOff>0</xdr:rowOff>
    </xdr:from>
    <xdr:to>
      <xdr:col>71</xdr:col>
      <xdr:colOff>83820</xdr:colOff>
      <xdr:row>720</xdr:row>
      <xdr:rowOff>114300</xdr:rowOff>
    </xdr:to>
    <xdr:sp macro="" textlink="">
      <xdr:nvSpPr>
        <xdr:cNvPr id="5260" name="Arrow: Down 5259">
          <a:extLst>
            <a:ext uri="{FF2B5EF4-FFF2-40B4-BE49-F238E27FC236}">
              <a16:creationId xmlns:a16="http://schemas.microsoft.com/office/drawing/2014/main" id="{D6DA45A0-FE7A-4088-8353-11E4B365A742}"/>
            </a:ext>
          </a:extLst>
        </xdr:cNvPr>
        <xdr:cNvSpPr/>
      </xdr:nvSpPr>
      <xdr:spPr>
        <a:xfrm>
          <a:off x="21960840" y="1315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720</xdr:row>
      <xdr:rowOff>0</xdr:rowOff>
    </xdr:from>
    <xdr:to>
      <xdr:col>11</xdr:col>
      <xdr:colOff>83820</xdr:colOff>
      <xdr:row>720</xdr:row>
      <xdr:rowOff>114300</xdr:rowOff>
    </xdr:to>
    <xdr:sp macro="" textlink="">
      <xdr:nvSpPr>
        <xdr:cNvPr id="5270" name="Arrow: Down 5269">
          <a:extLst>
            <a:ext uri="{FF2B5EF4-FFF2-40B4-BE49-F238E27FC236}">
              <a16:creationId xmlns:a16="http://schemas.microsoft.com/office/drawing/2014/main" id="{171739D4-5D4D-4C19-87CE-55C4DA5B9D4A}"/>
            </a:ext>
          </a:extLst>
        </xdr:cNvPr>
        <xdr:cNvSpPr/>
      </xdr:nvSpPr>
      <xdr:spPr>
        <a:xfrm rot="10800000">
          <a:off x="369570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83820</xdr:colOff>
      <xdr:row>720</xdr:row>
      <xdr:rowOff>114300</xdr:rowOff>
    </xdr:to>
    <xdr:sp macro="" textlink="">
      <xdr:nvSpPr>
        <xdr:cNvPr id="5273" name="Arrow: Down 5272">
          <a:extLst>
            <a:ext uri="{FF2B5EF4-FFF2-40B4-BE49-F238E27FC236}">
              <a16:creationId xmlns:a16="http://schemas.microsoft.com/office/drawing/2014/main" id="{28923FB0-94E3-4157-98EB-B1BE7677B7B3}"/>
            </a:ext>
          </a:extLst>
        </xdr:cNvPr>
        <xdr:cNvSpPr/>
      </xdr:nvSpPr>
      <xdr:spPr>
        <a:xfrm rot="10800000">
          <a:off x="192786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720</xdr:row>
      <xdr:rowOff>0</xdr:rowOff>
    </xdr:from>
    <xdr:to>
      <xdr:col>24</xdr:col>
      <xdr:colOff>83820</xdr:colOff>
      <xdr:row>720</xdr:row>
      <xdr:rowOff>114300</xdr:rowOff>
    </xdr:to>
    <xdr:sp macro="" textlink="">
      <xdr:nvSpPr>
        <xdr:cNvPr id="5274" name="Arrow: Down 5273">
          <a:extLst>
            <a:ext uri="{FF2B5EF4-FFF2-40B4-BE49-F238E27FC236}">
              <a16:creationId xmlns:a16="http://schemas.microsoft.com/office/drawing/2014/main" id="{768FD09B-338F-4223-AE56-D0D5082B5D79}"/>
            </a:ext>
          </a:extLst>
        </xdr:cNvPr>
        <xdr:cNvSpPr/>
      </xdr:nvSpPr>
      <xdr:spPr>
        <a:xfrm rot="10800000">
          <a:off x="833628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720</xdr:row>
      <xdr:rowOff>0</xdr:rowOff>
    </xdr:from>
    <xdr:to>
      <xdr:col>39</xdr:col>
      <xdr:colOff>83820</xdr:colOff>
      <xdr:row>720</xdr:row>
      <xdr:rowOff>114300</xdr:rowOff>
    </xdr:to>
    <xdr:sp macro="" textlink="">
      <xdr:nvSpPr>
        <xdr:cNvPr id="5278" name="Arrow: Down 5277">
          <a:extLst>
            <a:ext uri="{FF2B5EF4-FFF2-40B4-BE49-F238E27FC236}">
              <a16:creationId xmlns:a16="http://schemas.microsoft.com/office/drawing/2014/main" id="{F6F3B686-E5FB-435E-A86A-769E91B355E6}"/>
            </a:ext>
          </a:extLst>
        </xdr:cNvPr>
        <xdr:cNvSpPr/>
      </xdr:nvSpPr>
      <xdr:spPr>
        <a:xfrm>
          <a:off x="115443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720</xdr:row>
      <xdr:rowOff>0</xdr:rowOff>
    </xdr:from>
    <xdr:to>
      <xdr:col>60</xdr:col>
      <xdr:colOff>83820</xdr:colOff>
      <xdr:row>720</xdr:row>
      <xdr:rowOff>114300</xdr:rowOff>
    </xdr:to>
    <xdr:sp macro="" textlink="">
      <xdr:nvSpPr>
        <xdr:cNvPr id="5286" name="Arrow: Down 5285">
          <a:extLst>
            <a:ext uri="{FF2B5EF4-FFF2-40B4-BE49-F238E27FC236}">
              <a16:creationId xmlns:a16="http://schemas.microsoft.com/office/drawing/2014/main" id="{263037A5-466C-48F6-8CFD-3739636CFFF7}"/>
            </a:ext>
          </a:extLst>
        </xdr:cNvPr>
        <xdr:cNvSpPr/>
      </xdr:nvSpPr>
      <xdr:spPr>
        <a:xfrm rot="10800000">
          <a:off x="190804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721</xdr:row>
      <xdr:rowOff>0</xdr:rowOff>
    </xdr:from>
    <xdr:to>
      <xdr:col>64</xdr:col>
      <xdr:colOff>83820</xdr:colOff>
      <xdr:row>721</xdr:row>
      <xdr:rowOff>114300</xdr:rowOff>
    </xdr:to>
    <xdr:sp macro="" textlink="">
      <xdr:nvSpPr>
        <xdr:cNvPr id="5293" name="Arrow: Down 5292">
          <a:extLst>
            <a:ext uri="{FF2B5EF4-FFF2-40B4-BE49-F238E27FC236}">
              <a16:creationId xmlns:a16="http://schemas.microsoft.com/office/drawing/2014/main" id="{5C923D4F-988A-4DFA-8EEC-F0CE9DDD5DD4}"/>
            </a:ext>
          </a:extLst>
        </xdr:cNvPr>
        <xdr:cNvSpPr/>
      </xdr:nvSpPr>
      <xdr:spPr>
        <a:xfrm rot="10800000">
          <a:off x="19347180" y="131772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721</xdr:row>
      <xdr:rowOff>0</xdr:rowOff>
    </xdr:from>
    <xdr:to>
      <xdr:col>45</xdr:col>
      <xdr:colOff>83820</xdr:colOff>
      <xdr:row>721</xdr:row>
      <xdr:rowOff>114300</xdr:rowOff>
    </xdr:to>
    <xdr:sp macro="" textlink="">
      <xdr:nvSpPr>
        <xdr:cNvPr id="5306" name="Arrow: Down 5305">
          <a:extLst>
            <a:ext uri="{FF2B5EF4-FFF2-40B4-BE49-F238E27FC236}">
              <a16:creationId xmlns:a16="http://schemas.microsoft.com/office/drawing/2014/main" id="{E0DDF31E-4B42-45ED-9B62-32F6C56062E0}"/>
            </a:ext>
          </a:extLst>
        </xdr:cNvPr>
        <xdr:cNvSpPr/>
      </xdr:nvSpPr>
      <xdr:spPr>
        <a:xfrm rot="10800000">
          <a:off x="13403580" y="131772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721</xdr:row>
      <xdr:rowOff>0</xdr:rowOff>
    </xdr:from>
    <xdr:to>
      <xdr:col>71</xdr:col>
      <xdr:colOff>83820</xdr:colOff>
      <xdr:row>721</xdr:row>
      <xdr:rowOff>114300</xdr:rowOff>
    </xdr:to>
    <xdr:sp macro="" textlink="">
      <xdr:nvSpPr>
        <xdr:cNvPr id="5311" name="Arrow: Down 5310">
          <a:extLst>
            <a:ext uri="{FF2B5EF4-FFF2-40B4-BE49-F238E27FC236}">
              <a16:creationId xmlns:a16="http://schemas.microsoft.com/office/drawing/2014/main" id="{FFB70B69-C075-44B7-901F-5D1AA69575F5}"/>
            </a:ext>
          </a:extLst>
        </xdr:cNvPr>
        <xdr:cNvSpPr/>
      </xdr:nvSpPr>
      <xdr:spPr>
        <a:xfrm>
          <a:off x="21960840" y="1317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721</xdr:row>
      <xdr:rowOff>0</xdr:rowOff>
    </xdr:from>
    <xdr:to>
      <xdr:col>11</xdr:col>
      <xdr:colOff>83820</xdr:colOff>
      <xdr:row>721</xdr:row>
      <xdr:rowOff>114300</xdr:rowOff>
    </xdr:to>
    <xdr:sp macro="" textlink="">
      <xdr:nvSpPr>
        <xdr:cNvPr id="5315" name="Arrow: Down 5314">
          <a:extLst>
            <a:ext uri="{FF2B5EF4-FFF2-40B4-BE49-F238E27FC236}">
              <a16:creationId xmlns:a16="http://schemas.microsoft.com/office/drawing/2014/main" id="{1E31A24B-C6D5-402B-BC05-26C051FE43AA}"/>
            </a:ext>
          </a:extLst>
        </xdr:cNvPr>
        <xdr:cNvSpPr/>
      </xdr:nvSpPr>
      <xdr:spPr>
        <a:xfrm rot="10800000">
          <a:off x="36957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721</xdr:row>
      <xdr:rowOff>0</xdr:rowOff>
    </xdr:from>
    <xdr:to>
      <xdr:col>5</xdr:col>
      <xdr:colOff>83820</xdr:colOff>
      <xdr:row>721</xdr:row>
      <xdr:rowOff>114300</xdr:rowOff>
    </xdr:to>
    <xdr:sp macro="" textlink="">
      <xdr:nvSpPr>
        <xdr:cNvPr id="5317" name="Arrow: Down 5316">
          <a:extLst>
            <a:ext uri="{FF2B5EF4-FFF2-40B4-BE49-F238E27FC236}">
              <a16:creationId xmlns:a16="http://schemas.microsoft.com/office/drawing/2014/main" id="{E0835ADF-CA4F-46BC-99E1-732639064383}"/>
            </a:ext>
          </a:extLst>
        </xdr:cNvPr>
        <xdr:cNvSpPr/>
      </xdr:nvSpPr>
      <xdr:spPr>
        <a:xfrm rot="10800000">
          <a:off x="192786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721</xdr:row>
      <xdr:rowOff>0</xdr:rowOff>
    </xdr:from>
    <xdr:to>
      <xdr:col>24</xdr:col>
      <xdr:colOff>83820</xdr:colOff>
      <xdr:row>721</xdr:row>
      <xdr:rowOff>114300</xdr:rowOff>
    </xdr:to>
    <xdr:sp macro="" textlink="">
      <xdr:nvSpPr>
        <xdr:cNvPr id="5325" name="Arrow: Down 5324">
          <a:extLst>
            <a:ext uri="{FF2B5EF4-FFF2-40B4-BE49-F238E27FC236}">
              <a16:creationId xmlns:a16="http://schemas.microsoft.com/office/drawing/2014/main" id="{C6C3E13A-026B-4077-A683-1F3130495DEA}"/>
            </a:ext>
          </a:extLst>
        </xdr:cNvPr>
        <xdr:cNvSpPr/>
      </xdr:nvSpPr>
      <xdr:spPr>
        <a:xfrm rot="10800000">
          <a:off x="83362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721</xdr:row>
      <xdr:rowOff>0</xdr:rowOff>
    </xdr:from>
    <xdr:to>
      <xdr:col>39</xdr:col>
      <xdr:colOff>83820</xdr:colOff>
      <xdr:row>721</xdr:row>
      <xdr:rowOff>114300</xdr:rowOff>
    </xdr:to>
    <xdr:sp macro="" textlink="">
      <xdr:nvSpPr>
        <xdr:cNvPr id="5329" name="Arrow: Down 5328">
          <a:extLst>
            <a:ext uri="{FF2B5EF4-FFF2-40B4-BE49-F238E27FC236}">
              <a16:creationId xmlns:a16="http://schemas.microsoft.com/office/drawing/2014/main" id="{3DC2ED1D-18B9-4911-A651-5CA6126181D0}"/>
            </a:ext>
          </a:extLst>
        </xdr:cNvPr>
        <xdr:cNvSpPr/>
      </xdr:nvSpPr>
      <xdr:spPr>
        <a:xfrm>
          <a:off x="115443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721</xdr:row>
      <xdr:rowOff>0</xdr:rowOff>
    </xdr:from>
    <xdr:to>
      <xdr:col>60</xdr:col>
      <xdr:colOff>83820</xdr:colOff>
      <xdr:row>721</xdr:row>
      <xdr:rowOff>114300</xdr:rowOff>
    </xdr:to>
    <xdr:sp macro="" textlink="">
      <xdr:nvSpPr>
        <xdr:cNvPr id="5330" name="Arrow: Down 5329">
          <a:extLst>
            <a:ext uri="{FF2B5EF4-FFF2-40B4-BE49-F238E27FC236}">
              <a16:creationId xmlns:a16="http://schemas.microsoft.com/office/drawing/2014/main" id="{A21B30BB-D02B-45ED-B56F-EA1412979560}"/>
            </a:ext>
          </a:extLst>
        </xdr:cNvPr>
        <xdr:cNvSpPr/>
      </xdr:nvSpPr>
      <xdr:spPr>
        <a:xfrm rot="10800000">
          <a:off x="190804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722</xdr:row>
      <xdr:rowOff>0</xdr:rowOff>
    </xdr:from>
    <xdr:to>
      <xdr:col>64</xdr:col>
      <xdr:colOff>83820</xdr:colOff>
      <xdr:row>722</xdr:row>
      <xdr:rowOff>114300</xdr:rowOff>
    </xdr:to>
    <xdr:sp macro="" textlink="">
      <xdr:nvSpPr>
        <xdr:cNvPr id="5352" name="Arrow: Down 5351">
          <a:extLst>
            <a:ext uri="{FF2B5EF4-FFF2-40B4-BE49-F238E27FC236}">
              <a16:creationId xmlns:a16="http://schemas.microsoft.com/office/drawing/2014/main" id="{FB1DAEBD-F1CD-4AEE-BB0A-F1D77E3A4C79}"/>
            </a:ext>
          </a:extLst>
        </xdr:cNvPr>
        <xdr:cNvSpPr/>
      </xdr:nvSpPr>
      <xdr:spPr>
        <a:xfrm rot="10800000">
          <a:off x="19347180" y="131955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722</xdr:row>
      <xdr:rowOff>0</xdr:rowOff>
    </xdr:from>
    <xdr:to>
      <xdr:col>45</xdr:col>
      <xdr:colOff>83820</xdr:colOff>
      <xdr:row>722</xdr:row>
      <xdr:rowOff>114300</xdr:rowOff>
    </xdr:to>
    <xdr:sp macro="" textlink="">
      <xdr:nvSpPr>
        <xdr:cNvPr id="5353" name="Arrow: Down 5352">
          <a:extLst>
            <a:ext uri="{FF2B5EF4-FFF2-40B4-BE49-F238E27FC236}">
              <a16:creationId xmlns:a16="http://schemas.microsoft.com/office/drawing/2014/main" id="{59DE305D-8A4E-43D4-9740-99F89DBD0A93}"/>
            </a:ext>
          </a:extLst>
        </xdr:cNvPr>
        <xdr:cNvSpPr/>
      </xdr:nvSpPr>
      <xdr:spPr>
        <a:xfrm rot="10800000">
          <a:off x="13403580" y="131955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722</xdr:row>
      <xdr:rowOff>0</xdr:rowOff>
    </xdr:from>
    <xdr:to>
      <xdr:col>71</xdr:col>
      <xdr:colOff>83820</xdr:colOff>
      <xdr:row>722</xdr:row>
      <xdr:rowOff>114300</xdr:rowOff>
    </xdr:to>
    <xdr:sp macro="" textlink="">
      <xdr:nvSpPr>
        <xdr:cNvPr id="5357" name="Arrow: Down 5356">
          <a:extLst>
            <a:ext uri="{FF2B5EF4-FFF2-40B4-BE49-F238E27FC236}">
              <a16:creationId xmlns:a16="http://schemas.microsoft.com/office/drawing/2014/main" id="{EA5BB398-1FDE-4B04-B8CD-1F0CD3F18F1C}"/>
            </a:ext>
          </a:extLst>
        </xdr:cNvPr>
        <xdr:cNvSpPr/>
      </xdr:nvSpPr>
      <xdr:spPr>
        <a:xfrm>
          <a:off x="21960840" y="1319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722</xdr:row>
      <xdr:rowOff>0</xdr:rowOff>
    </xdr:from>
    <xdr:to>
      <xdr:col>39</xdr:col>
      <xdr:colOff>83820</xdr:colOff>
      <xdr:row>722</xdr:row>
      <xdr:rowOff>114300</xdr:rowOff>
    </xdr:to>
    <xdr:sp macro="" textlink="">
      <xdr:nvSpPr>
        <xdr:cNvPr id="5367" name="Arrow: Down 5366">
          <a:extLst>
            <a:ext uri="{FF2B5EF4-FFF2-40B4-BE49-F238E27FC236}">
              <a16:creationId xmlns:a16="http://schemas.microsoft.com/office/drawing/2014/main" id="{39D3DDE3-F220-42DB-9FFD-37EC1381B4E2}"/>
            </a:ext>
          </a:extLst>
        </xdr:cNvPr>
        <xdr:cNvSpPr/>
      </xdr:nvSpPr>
      <xdr:spPr>
        <a:xfrm>
          <a:off x="11544300" y="1319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722</xdr:row>
      <xdr:rowOff>0</xdr:rowOff>
    </xdr:from>
    <xdr:to>
      <xdr:col>60</xdr:col>
      <xdr:colOff>83820</xdr:colOff>
      <xdr:row>722</xdr:row>
      <xdr:rowOff>114300</xdr:rowOff>
    </xdr:to>
    <xdr:sp macro="" textlink="">
      <xdr:nvSpPr>
        <xdr:cNvPr id="5370" name="Arrow: Down 5369">
          <a:extLst>
            <a:ext uri="{FF2B5EF4-FFF2-40B4-BE49-F238E27FC236}">
              <a16:creationId xmlns:a16="http://schemas.microsoft.com/office/drawing/2014/main" id="{DEF6A759-58D9-4744-82CD-0D751906AC88}"/>
            </a:ext>
          </a:extLst>
        </xdr:cNvPr>
        <xdr:cNvSpPr/>
      </xdr:nvSpPr>
      <xdr:spPr>
        <a:xfrm>
          <a:off x="1908048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722</xdr:row>
      <xdr:rowOff>0</xdr:rowOff>
    </xdr:from>
    <xdr:to>
      <xdr:col>5</xdr:col>
      <xdr:colOff>83820</xdr:colOff>
      <xdr:row>722</xdr:row>
      <xdr:rowOff>114300</xdr:rowOff>
    </xdr:to>
    <xdr:sp macro="" textlink="">
      <xdr:nvSpPr>
        <xdr:cNvPr id="5372" name="Arrow: Down 5371">
          <a:extLst>
            <a:ext uri="{FF2B5EF4-FFF2-40B4-BE49-F238E27FC236}">
              <a16:creationId xmlns:a16="http://schemas.microsoft.com/office/drawing/2014/main" id="{2A4CEBAA-2390-4762-A429-532DE827E9D9}"/>
            </a:ext>
          </a:extLst>
        </xdr:cNvPr>
        <xdr:cNvSpPr/>
      </xdr:nvSpPr>
      <xdr:spPr>
        <a:xfrm>
          <a:off x="192786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722</xdr:row>
      <xdr:rowOff>0</xdr:rowOff>
    </xdr:from>
    <xdr:to>
      <xdr:col>11</xdr:col>
      <xdr:colOff>83820</xdr:colOff>
      <xdr:row>722</xdr:row>
      <xdr:rowOff>114300</xdr:rowOff>
    </xdr:to>
    <xdr:sp macro="" textlink="">
      <xdr:nvSpPr>
        <xdr:cNvPr id="5376" name="Arrow: Down 5375">
          <a:extLst>
            <a:ext uri="{FF2B5EF4-FFF2-40B4-BE49-F238E27FC236}">
              <a16:creationId xmlns:a16="http://schemas.microsoft.com/office/drawing/2014/main" id="{C49D7173-C96A-4561-BF9F-09772F46D45E}"/>
            </a:ext>
          </a:extLst>
        </xdr:cNvPr>
        <xdr:cNvSpPr/>
      </xdr:nvSpPr>
      <xdr:spPr>
        <a:xfrm>
          <a:off x="369570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722</xdr:row>
      <xdr:rowOff>0</xdr:rowOff>
    </xdr:from>
    <xdr:to>
      <xdr:col>24</xdr:col>
      <xdr:colOff>83820</xdr:colOff>
      <xdr:row>722</xdr:row>
      <xdr:rowOff>114300</xdr:rowOff>
    </xdr:to>
    <xdr:sp macro="" textlink="">
      <xdr:nvSpPr>
        <xdr:cNvPr id="5378" name="Arrow: Down 5377">
          <a:extLst>
            <a:ext uri="{FF2B5EF4-FFF2-40B4-BE49-F238E27FC236}">
              <a16:creationId xmlns:a16="http://schemas.microsoft.com/office/drawing/2014/main" id="{AC5DF90D-C78C-4F24-B3F7-8E718C1CC9E9}"/>
            </a:ext>
          </a:extLst>
        </xdr:cNvPr>
        <xdr:cNvSpPr/>
      </xdr:nvSpPr>
      <xdr:spPr>
        <a:xfrm>
          <a:off x="833628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723</xdr:row>
      <xdr:rowOff>0</xdr:rowOff>
    </xdr:from>
    <xdr:to>
      <xdr:col>64</xdr:col>
      <xdr:colOff>83820</xdr:colOff>
      <xdr:row>723</xdr:row>
      <xdr:rowOff>114300</xdr:rowOff>
    </xdr:to>
    <xdr:sp macro="" textlink="">
      <xdr:nvSpPr>
        <xdr:cNvPr id="5398" name="Arrow: Down 5397">
          <a:extLst>
            <a:ext uri="{FF2B5EF4-FFF2-40B4-BE49-F238E27FC236}">
              <a16:creationId xmlns:a16="http://schemas.microsoft.com/office/drawing/2014/main" id="{C1AD8F56-391E-4DC1-A44D-4E619FDFEF8A}"/>
            </a:ext>
          </a:extLst>
        </xdr:cNvPr>
        <xdr:cNvSpPr/>
      </xdr:nvSpPr>
      <xdr:spPr>
        <a:xfrm rot="10800000">
          <a:off x="19347180" y="132138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723</xdr:row>
      <xdr:rowOff>0</xdr:rowOff>
    </xdr:from>
    <xdr:to>
      <xdr:col>45</xdr:col>
      <xdr:colOff>83820</xdr:colOff>
      <xdr:row>723</xdr:row>
      <xdr:rowOff>114300</xdr:rowOff>
    </xdr:to>
    <xdr:sp macro="" textlink="">
      <xdr:nvSpPr>
        <xdr:cNvPr id="5401" name="Arrow: Down 5400">
          <a:extLst>
            <a:ext uri="{FF2B5EF4-FFF2-40B4-BE49-F238E27FC236}">
              <a16:creationId xmlns:a16="http://schemas.microsoft.com/office/drawing/2014/main" id="{4C063621-3A07-491E-BE3B-0C9EFB3B2AA2}"/>
            </a:ext>
          </a:extLst>
        </xdr:cNvPr>
        <xdr:cNvSpPr/>
      </xdr:nvSpPr>
      <xdr:spPr>
        <a:xfrm rot="10800000">
          <a:off x="13403580" y="132138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723</xdr:row>
      <xdr:rowOff>0</xdr:rowOff>
    </xdr:from>
    <xdr:to>
      <xdr:col>71</xdr:col>
      <xdr:colOff>83820</xdr:colOff>
      <xdr:row>723</xdr:row>
      <xdr:rowOff>114300</xdr:rowOff>
    </xdr:to>
    <xdr:sp macro="" textlink="">
      <xdr:nvSpPr>
        <xdr:cNvPr id="5405" name="Arrow: Down 5404">
          <a:extLst>
            <a:ext uri="{FF2B5EF4-FFF2-40B4-BE49-F238E27FC236}">
              <a16:creationId xmlns:a16="http://schemas.microsoft.com/office/drawing/2014/main" id="{FB627899-E837-4DDA-AECF-74DD02600A66}"/>
            </a:ext>
          </a:extLst>
        </xdr:cNvPr>
        <xdr:cNvSpPr/>
      </xdr:nvSpPr>
      <xdr:spPr>
        <a:xfrm>
          <a:off x="2196084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723</xdr:row>
      <xdr:rowOff>0</xdr:rowOff>
    </xdr:from>
    <xdr:to>
      <xdr:col>5</xdr:col>
      <xdr:colOff>83820</xdr:colOff>
      <xdr:row>723</xdr:row>
      <xdr:rowOff>114300</xdr:rowOff>
    </xdr:to>
    <xdr:sp macro="" textlink="">
      <xdr:nvSpPr>
        <xdr:cNvPr id="5409" name="Arrow: Down 5408">
          <a:extLst>
            <a:ext uri="{FF2B5EF4-FFF2-40B4-BE49-F238E27FC236}">
              <a16:creationId xmlns:a16="http://schemas.microsoft.com/office/drawing/2014/main" id="{954F1C6D-947F-499F-906E-88BEE86CE8CE}"/>
            </a:ext>
          </a:extLst>
        </xdr:cNvPr>
        <xdr:cNvSpPr/>
      </xdr:nvSpPr>
      <xdr:spPr>
        <a:xfrm>
          <a:off x="192786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723</xdr:row>
      <xdr:rowOff>0</xdr:rowOff>
    </xdr:from>
    <xdr:to>
      <xdr:col>11</xdr:col>
      <xdr:colOff>83820</xdr:colOff>
      <xdr:row>723</xdr:row>
      <xdr:rowOff>114300</xdr:rowOff>
    </xdr:to>
    <xdr:sp macro="" textlink="">
      <xdr:nvSpPr>
        <xdr:cNvPr id="5410" name="Arrow: Down 5409">
          <a:extLst>
            <a:ext uri="{FF2B5EF4-FFF2-40B4-BE49-F238E27FC236}">
              <a16:creationId xmlns:a16="http://schemas.microsoft.com/office/drawing/2014/main" id="{985E180F-50BA-4775-B512-6B19C223662F}"/>
            </a:ext>
          </a:extLst>
        </xdr:cNvPr>
        <xdr:cNvSpPr/>
      </xdr:nvSpPr>
      <xdr:spPr>
        <a:xfrm>
          <a:off x="369570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723</xdr:row>
      <xdr:rowOff>0</xdr:rowOff>
    </xdr:from>
    <xdr:to>
      <xdr:col>60</xdr:col>
      <xdr:colOff>83820</xdr:colOff>
      <xdr:row>723</xdr:row>
      <xdr:rowOff>114300</xdr:rowOff>
    </xdr:to>
    <xdr:sp macro="" textlink="">
      <xdr:nvSpPr>
        <xdr:cNvPr id="5414" name="Arrow: Down 5413">
          <a:extLst>
            <a:ext uri="{FF2B5EF4-FFF2-40B4-BE49-F238E27FC236}">
              <a16:creationId xmlns:a16="http://schemas.microsoft.com/office/drawing/2014/main" id="{6F7DFE4B-9CC0-4AC3-B277-B48CBF1D8178}"/>
            </a:ext>
          </a:extLst>
        </xdr:cNvPr>
        <xdr:cNvSpPr/>
      </xdr:nvSpPr>
      <xdr:spPr>
        <a:xfrm rot="10800000">
          <a:off x="19080480" y="1323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723</xdr:row>
      <xdr:rowOff>0</xdr:rowOff>
    </xdr:from>
    <xdr:to>
      <xdr:col>24</xdr:col>
      <xdr:colOff>83820</xdr:colOff>
      <xdr:row>723</xdr:row>
      <xdr:rowOff>114300</xdr:rowOff>
    </xdr:to>
    <xdr:sp macro="" textlink="">
      <xdr:nvSpPr>
        <xdr:cNvPr id="5420" name="Arrow: Down 5419">
          <a:extLst>
            <a:ext uri="{FF2B5EF4-FFF2-40B4-BE49-F238E27FC236}">
              <a16:creationId xmlns:a16="http://schemas.microsoft.com/office/drawing/2014/main" id="{CA0873FE-3727-482A-96A2-6EB2CD1E8338}"/>
            </a:ext>
          </a:extLst>
        </xdr:cNvPr>
        <xdr:cNvSpPr/>
      </xdr:nvSpPr>
      <xdr:spPr>
        <a:xfrm rot="10800000">
          <a:off x="8336280" y="1323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723</xdr:row>
      <xdr:rowOff>0</xdr:rowOff>
    </xdr:from>
    <xdr:to>
      <xdr:col>39</xdr:col>
      <xdr:colOff>83820</xdr:colOff>
      <xdr:row>723</xdr:row>
      <xdr:rowOff>114300</xdr:rowOff>
    </xdr:to>
    <xdr:sp macro="" textlink="">
      <xdr:nvSpPr>
        <xdr:cNvPr id="5422" name="Arrow: Down 5421">
          <a:extLst>
            <a:ext uri="{FF2B5EF4-FFF2-40B4-BE49-F238E27FC236}">
              <a16:creationId xmlns:a16="http://schemas.microsoft.com/office/drawing/2014/main" id="{0EB61A65-900B-4B33-B274-392424966413}"/>
            </a:ext>
          </a:extLst>
        </xdr:cNvPr>
        <xdr:cNvSpPr/>
      </xdr:nvSpPr>
      <xdr:spPr>
        <a:xfrm rot="10800000">
          <a:off x="1154430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724</xdr:row>
      <xdr:rowOff>0</xdr:rowOff>
    </xdr:from>
    <xdr:to>
      <xdr:col>64</xdr:col>
      <xdr:colOff>83820</xdr:colOff>
      <xdr:row>724</xdr:row>
      <xdr:rowOff>114300</xdr:rowOff>
    </xdr:to>
    <xdr:sp macro="" textlink="">
      <xdr:nvSpPr>
        <xdr:cNvPr id="5423" name="Arrow: Down 5422">
          <a:extLst>
            <a:ext uri="{FF2B5EF4-FFF2-40B4-BE49-F238E27FC236}">
              <a16:creationId xmlns:a16="http://schemas.microsoft.com/office/drawing/2014/main" id="{3CB0CC49-E6A2-4E9C-999C-313DA41B78F6}"/>
            </a:ext>
          </a:extLst>
        </xdr:cNvPr>
        <xdr:cNvSpPr/>
      </xdr:nvSpPr>
      <xdr:spPr>
        <a:xfrm rot="10800000">
          <a:off x="19347180" y="132321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724</xdr:row>
      <xdr:rowOff>0</xdr:rowOff>
    </xdr:from>
    <xdr:to>
      <xdr:col>45</xdr:col>
      <xdr:colOff>83820</xdr:colOff>
      <xdr:row>724</xdr:row>
      <xdr:rowOff>114300</xdr:rowOff>
    </xdr:to>
    <xdr:sp macro="" textlink="">
      <xdr:nvSpPr>
        <xdr:cNvPr id="5424" name="Arrow: Down 5423">
          <a:extLst>
            <a:ext uri="{FF2B5EF4-FFF2-40B4-BE49-F238E27FC236}">
              <a16:creationId xmlns:a16="http://schemas.microsoft.com/office/drawing/2014/main" id="{82E93432-78A7-4389-AF1E-686F56B9C761}"/>
            </a:ext>
          </a:extLst>
        </xdr:cNvPr>
        <xdr:cNvSpPr/>
      </xdr:nvSpPr>
      <xdr:spPr>
        <a:xfrm rot="10800000">
          <a:off x="1340358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724</xdr:row>
      <xdr:rowOff>0</xdr:rowOff>
    </xdr:from>
    <xdr:to>
      <xdr:col>71</xdr:col>
      <xdr:colOff>83820</xdr:colOff>
      <xdr:row>724</xdr:row>
      <xdr:rowOff>114300</xdr:rowOff>
    </xdr:to>
    <xdr:sp macro="" textlink="">
      <xdr:nvSpPr>
        <xdr:cNvPr id="5425" name="Arrow: Down 5424">
          <a:extLst>
            <a:ext uri="{FF2B5EF4-FFF2-40B4-BE49-F238E27FC236}">
              <a16:creationId xmlns:a16="http://schemas.microsoft.com/office/drawing/2014/main" id="{FCBA277B-AB6B-4C59-8DEC-FCB8B5E9862C}"/>
            </a:ext>
          </a:extLst>
        </xdr:cNvPr>
        <xdr:cNvSpPr/>
      </xdr:nvSpPr>
      <xdr:spPr>
        <a:xfrm>
          <a:off x="2196084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724</xdr:row>
      <xdr:rowOff>0</xdr:rowOff>
    </xdr:from>
    <xdr:to>
      <xdr:col>5</xdr:col>
      <xdr:colOff>83820</xdr:colOff>
      <xdr:row>724</xdr:row>
      <xdr:rowOff>114300</xdr:rowOff>
    </xdr:to>
    <xdr:sp macro="" textlink="">
      <xdr:nvSpPr>
        <xdr:cNvPr id="5426" name="Arrow: Down 5425">
          <a:extLst>
            <a:ext uri="{FF2B5EF4-FFF2-40B4-BE49-F238E27FC236}">
              <a16:creationId xmlns:a16="http://schemas.microsoft.com/office/drawing/2014/main" id="{72245B1D-E177-47E7-891D-C43A30AC216E}"/>
            </a:ext>
          </a:extLst>
        </xdr:cNvPr>
        <xdr:cNvSpPr/>
      </xdr:nvSpPr>
      <xdr:spPr>
        <a:xfrm>
          <a:off x="192786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724</xdr:row>
      <xdr:rowOff>0</xdr:rowOff>
    </xdr:from>
    <xdr:to>
      <xdr:col>11</xdr:col>
      <xdr:colOff>83820</xdr:colOff>
      <xdr:row>724</xdr:row>
      <xdr:rowOff>114300</xdr:rowOff>
    </xdr:to>
    <xdr:sp macro="" textlink="">
      <xdr:nvSpPr>
        <xdr:cNvPr id="5427" name="Arrow: Down 5426">
          <a:extLst>
            <a:ext uri="{FF2B5EF4-FFF2-40B4-BE49-F238E27FC236}">
              <a16:creationId xmlns:a16="http://schemas.microsoft.com/office/drawing/2014/main" id="{E9803268-2E45-4FF7-93FB-23414BF4CD08}"/>
            </a:ext>
          </a:extLst>
        </xdr:cNvPr>
        <xdr:cNvSpPr/>
      </xdr:nvSpPr>
      <xdr:spPr>
        <a:xfrm>
          <a:off x="369570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724</xdr:row>
      <xdr:rowOff>0</xdr:rowOff>
    </xdr:from>
    <xdr:to>
      <xdr:col>39</xdr:col>
      <xdr:colOff>83820</xdr:colOff>
      <xdr:row>724</xdr:row>
      <xdr:rowOff>114300</xdr:rowOff>
    </xdr:to>
    <xdr:sp macro="" textlink="">
      <xdr:nvSpPr>
        <xdr:cNvPr id="5441" name="Arrow: Down 5440">
          <a:extLst>
            <a:ext uri="{FF2B5EF4-FFF2-40B4-BE49-F238E27FC236}">
              <a16:creationId xmlns:a16="http://schemas.microsoft.com/office/drawing/2014/main" id="{1BAC90CC-9253-49E8-8BFB-8D9A946AB93F}"/>
            </a:ext>
          </a:extLst>
        </xdr:cNvPr>
        <xdr:cNvSpPr/>
      </xdr:nvSpPr>
      <xdr:spPr>
        <a:xfrm rot="10800000">
          <a:off x="1154430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724</xdr:row>
      <xdr:rowOff>0</xdr:rowOff>
    </xdr:from>
    <xdr:to>
      <xdr:col>24</xdr:col>
      <xdr:colOff>83820</xdr:colOff>
      <xdr:row>724</xdr:row>
      <xdr:rowOff>114300</xdr:rowOff>
    </xdr:to>
    <xdr:sp macro="" textlink="">
      <xdr:nvSpPr>
        <xdr:cNvPr id="5443" name="Arrow: Down 5442">
          <a:extLst>
            <a:ext uri="{FF2B5EF4-FFF2-40B4-BE49-F238E27FC236}">
              <a16:creationId xmlns:a16="http://schemas.microsoft.com/office/drawing/2014/main" id="{751958D3-166F-4ACC-BDCB-5D44072351D5}"/>
            </a:ext>
          </a:extLst>
        </xdr:cNvPr>
        <xdr:cNvSpPr/>
      </xdr:nvSpPr>
      <xdr:spPr>
        <a:xfrm>
          <a:off x="83362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724</xdr:row>
      <xdr:rowOff>0</xdr:rowOff>
    </xdr:from>
    <xdr:to>
      <xdr:col>60</xdr:col>
      <xdr:colOff>83820</xdr:colOff>
      <xdr:row>724</xdr:row>
      <xdr:rowOff>114300</xdr:rowOff>
    </xdr:to>
    <xdr:sp macro="" textlink="">
      <xdr:nvSpPr>
        <xdr:cNvPr id="5446" name="Arrow: Down 5445">
          <a:extLst>
            <a:ext uri="{FF2B5EF4-FFF2-40B4-BE49-F238E27FC236}">
              <a16:creationId xmlns:a16="http://schemas.microsoft.com/office/drawing/2014/main" id="{0A4ED0FF-E45A-4040-8336-04B7FED98868}"/>
            </a:ext>
          </a:extLst>
        </xdr:cNvPr>
        <xdr:cNvSpPr/>
      </xdr:nvSpPr>
      <xdr:spPr>
        <a:xfrm>
          <a:off x="190804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725</xdr:row>
      <xdr:rowOff>0</xdr:rowOff>
    </xdr:from>
    <xdr:to>
      <xdr:col>64</xdr:col>
      <xdr:colOff>83820</xdr:colOff>
      <xdr:row>725</xdr:row>
      <xdr:rowOff>114300</xdr:rowOff>
    </xdr:to>
    <xdr:sp macro="" textlink="">
      <xdr:nvSpPr>
        <xdr:cNvPr id="5458" name="Arrow: Down 5457">
          <a:extLst>
            <a:ext uri="{FF2B5EF4-FFF2-40B4-BE49-F238E27FC236}">
              <a16:creationId xmlns:a16="http://schemas.microsoft.com/office/drawing/2014/main" id="{E45DC245-4DBE-478B-8B17-FD1CC23A6754}"/>
            </a:ext>
          </a:extLst>
        </xdr:cNvPr>
        <xdr:cNvSpPr/>
      </xdr:nvSpPr>
      <xdr:spPr>
        <a:xfrm rot="10800000">
          <a:off x="19347180" y="132504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725</xdr:row>
      <xdr:rowOff>0</xdr:rowOff>
    </xdr:from>
    <xdr:to>
      <xdr:col>45</xdr:col>
      <xdr:colOff>83820</xdr:colOff>
      <xdr:row>725</xdr:row>
      <xdr:rowOff>114300</xdr:rowOff>
    </xdr:to>
    <xdr:sp macro="" textlink="">
      <xdr:nvSpPr>
        <xdr:cNvPr id="5459" name="Arrow: Down 5458">
          <a:extLst>
            <a:ext uri="{FF2B5EF4-FFF2-40B4-BE49-F238E27FC236}">
              <a16:creationId xmlns:a16="http://schemas.microsoft.com/office/drawing/2014/main" id="{EC5F409E-73A1-47C0-A42D-7D178B22296A}"/>
            </a:ext>
          </a:extLst>
        </xdr:cNvPr>
        <xdr:cNvSpPr/>
      </xdr:nvSpPr>
      <xdr:spPr>
        <a:xfrm rot="10800000">
          <a:off x="13403580" y="132504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725</xdr:row>
      <xdr:rowOff>0</xdr:rowOff>
    </xdr:from>
    <xdr:to>
      <xdr:col>71</xdr:col>
      <xdr:colOff>83820</xdr:colOff>
      <xdr:row>725</xdr:row>
      <xdr:rowOff>114300</xdr:rowOff>
    </xdr:to>
    <xdr:sp macro="" textlink="">
      <xdr:nvSpPr>
        <xdr:cNvPr id="5468" name="Arrow: Down 5467">
          <a:extLst>
            <a:ext uri="{FF2B5EF4-FFF2-40B4-BE49-F238E27FC236}">
              <a16:creationId xmlns:a16="http://schemas.microsoft.com/office/drawing/2014/main" id="{A9216C6C-8E01-47A4-9867-50704A909BEA}"/>
            </a:ext>
          </a:extLst>
        </xdr:cNvPr>
        <xdr:cNvSpPr/>
      </xdr:nvSpPr>
      <xdr:spPr>
        <a:xfrm>
          <a:off x="2196084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725</xdr:row>
      <xdr:rowOff>0</xdr:rowOff>
    </xdr:from>
    <xdr:to>
      <xdr:col>5</xdr:col>
      <xdr:colOff>83820</xdr:colOff>
      <xdr:row>725</xdr:row>
      <xdr:rowOff>114300</xdr:rowOff>
    </xdr:to>
    <xdr:sp macro="" textlink="">
      <xdr:nvSpPr>
        <xdr:cNvPr id="5469" name="Arrow: Down 5468">
          <a:extLst>
            <a:ext uri="{FF2B5EF4-FFF2-40B4-BE49-F238E27FC236}">
              <a16:creationId xmlns:a16="http://schemas.microsoft.com/office/drawing/2014/main" id="{FB298EF6-1FF5-4916-8B02-B4A719C2EB1B}"/>
            </a:ext>
          </a:extLst>
        </xdr:cNvPr>
        <xdr:cNvSpPr/>
      </xdr:nvSpPr>
      <xdr:spPr>
        <a:xfrm>
          <a:off x="192786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725</xdr:row>
      <xdr:rowOff>0</xdr:rowOff>
    </xdr:from>
    <xdr:to>
      <xdr:col>11</xdr:col>
      <xdr:colOff>83820</xdr:colOff>
      <xdr:row>725</xdr:row>
      <xdr:rowOff>114300</xdr:rowOff>
    </xdr:to>
    <xdr:sp macro="" textlink="">
      <xdr:nvSpPr>
        <xdr:cNvPr id="5470" name="Arrow: Down 5469">
          <a:extLst>
            <a:ext uri="{FF2B5EF4-FFF2-40B4-BE49-F238E27FC236}">
              <a16:creationId xmlns:a16="http://schemas.microsoft.com/office/drawing/2014/main" id="{AE444E96-DDC5-4C12-ACAE-AB3DEFF0FC41}"/>
            </a:ext>
          </a:extLst>
        </xdr:cNvPr>
        <xdr:cNvSpPr/>
      </xdr:nvSpPr>
      <xdr:spPr>
        <a:xfrm>
          <a:off x="369570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725</xdr:row>
      <xdr:rowOff>0</xdr:rowOff>
    </xdr:from>
    <xdr:to>
      <xdr:col>24</xdr:col>
      <xdr:colOff>83820</xdr:colOff>
      <xdr:row>725</xdr:row>
      <xdr:rowOff>114300</xdr:rowOff>
    </xdr:to>
    <xdr:sp macro="" textlink="">
      <xdr:nvSpPr>
        <xdr:cNvPr id="5472" name="Arrow: Down 5471">
          <a:extLst>
            <a:ext uri="{FF2B5EF4-FFF2-40B4-BE49-F238E27FC236}">
              <a16:creationId xmlns:a16="http://schemas.microsoft.com/office/drawing/2014/main" id="{02C4459D-28DC-47AF-9EBA-98601A9B6879}"/>
            </a:ext>
          </a:extLst>
        </xdr:cNvPr>
        <xdr:cNvSpPr/>
      </xdr:nvSpPr>
      <xdr:spPr>
        <a:xfrm>
          <a:off x="83362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725</xdr:row>
      <xdr:rowOff>0</xdr:rowOff>
    </xdr:from>
    <xdr:to>
      <xdr:col>60</xdr:col>
      <xdr:colOff>83820</xdr:colOff>
      <xdr:row>725</xdr:row>
      <xdr:rowOff>114300</xdr:rowOff>
    </xdr:to>
    <xdr:sp macro="" textlink="">
      <xdr:nvSpPr>
        <xdr:cNvPr id="5473" name="Arrow: Down 5472">
          <a:extLst>
            <a:ext uri="{FF2B5EF4-FFF2-40B4-BE49-F238E27FC236}">
              <a16:creationId xmlns:a16="http://schemas.microsoft.com/office/drawing/2014/main" id="{D3D20177-8E53-4D52-8351-0A7FEECB3B76}"/>
            </a:ext>
          </a:extLst>
        </xdr:cNvPr>
        <xdr:cNvSpPr/>
      </xdr:nvSpPr>
      <xdr:spPr>
        <a:xfrm>
          <a:off x="190804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725</xdr:row>
      <xdr:rowOff>0</xdr:rowOff>
    </xdr:from>
    <xdr:to>
      <xdr:col>39</xdr:col>
      <xdr:colOff>83820</xdr:colOff>
      <xdr:row>725</xdr:row>
      <xdr:rowOff>114300</xdr:rowOff>
    </xdr:to>
    <xdr:sp macro="" textlink="">
      <xdr:nvSpPr>
        <xdr:cNvPr id="5474" name="Arrow: Down 5473">
          <a:extLst>
            <a:ext uri="{FF2B5EF4-FFF2-40B4-BE49-F238E27FC236}">
              <a16:creationId xmlns:a16="http://schemas.microsoft.com/office/drawing/2014/main" id="{C75FDEB0-FD48-4CB0-9508-904F3E8C2956}"/>
            </a:ext>
          </a:extLst>
        </xdr:cNvPr>
        <xdr:cNvSpPr/>
      </xdr:nvSpPr>
      <xdr:spPr>
        <a:xfrm>
          <a:off x="11544300" y="13268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726</xdr:row>
      <xdr:rowOff>0</xdr:rowOff>
    </xdr:from>
    <xdr:to>
      <xdr:col>64</xdr:col>
      <xdr:colOff>83820</xdr:colOff>
      <xdr:row>726</xdr:row>
      <xdr:rowOff>114300</xdr:rowOff>
    </xdr:to>
    <xdr:sp macro="" textlink="">
      <xdr:nvSpPr>
        <xdr:cNvPr id="5238" name="Arrow: Down 5237">
          <a:extLst>
            <a:ext uri="{FF2B5EF4-FFF2-40B4-BE49-F238E27FC236}">
              <a16:creationId xmlns:a16="http://schemas.microsoft.com/office/drawing/2014/main" id="{AC49F437-BE98-40C3-B018-4872EC4E7041}"/>
            </a:ext>
          </a:extLst>
        </xdr:cNvPr>
        <xdr:cNvSpPr/>
      </xdr:nvSpPr>
      <xdr:spPr>
        <a:xfrm rot="10800000">
          <a:off x="19347180" y="132687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726</xdr:row>
      <xdr:rowOff>0</xdr:rowOff>
    </xdr:from>
    <xdr:to>
      <xdr:col>45</xdr:col>
      <xdr:colOff>83820</xdr:colOff>
      <xdr:row>726</xdr:row>
      <xdr:rowOff>114300</xdr:rowOff>
    </xdr:to>
    <xdr:sp macro="" textlink="">
      <xdr:nvSpPr>
        <xdr:cNvPr id="5243" name="Arrow: Down 5242">
          <a:extLst>
            <a:ext uri="{FF2B5EF4-FFF2-40B4-BE49-F238E27FC236}">
              <a16:creationId xmlns:a16="http://schemas.microsoft.com/office/drawing/2014/main" id="{BB11A2D8-5996-40F0-AA73-EEF3B16DAA52}"/>
            </a:ext>
          </a:extLst>
        </xdr:cNvPr>
        <xdr:cNvSpPr/>
      </xdr:nvSpPr>
      <xdr:spPr>
        <a:xfrm rot="10800000">
          <a:off x="13403580" y="132687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726</xdr:row>
      <xdr:rowOff>0</xdr:rowOff>
    </xdr:from>
    <xdr:to>
      <xdr:col>71</xdr:col>
      <xdr:colOff>83820</xdr:colOff>
      <xdr:row>726</xdr:row>
      <xdr:rowOff>114300</xdr:rowOff>
    </xdr:to>
    <xdr:sp macro="" textlink="">
      <xdr:nvSpPr>
        <xdr:cNvPr id="5262" name="Arrow: Down 5261">
          <a:extLst>
            <a:ext uri="{FF2B5EF4-FFF2-40B4-BE49-F238E27FC236}">
              <a16:creationId xmlns:a16="http://schemas.microsoft.com/office/drawing/2014/main" id="{53F9EB9E-C364-4543-83E3-E56584DC8E10}"/>
            </a:ext>
          </a:extLst>
        </xdr:cNvPr>
        <xdr:cNvSpPr/>
      </xdr:nvSpPr>
      <xdr:spPr>
        <a:xfrm>
          <a:off x="21960840" y="1326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726</xdr:row>
      <xdr:rowOff>0</xdr:rowOff>
    </xdr:from>
    <xdr:to>
      <xdr:col>60</xdr:col>
      <xdr:colOff>83820</xdr:colOff>
      <xdr:row>726</xdr:row>
      <xdr:rowOff>114300</xdr:rowOff>
    </xdr:to>
    <xdr:sp macro="" textlink="">
      <xdr:nvSpPr>
        <xdr:cNvPr id="5333" name="Arrow: Down 5332">
          <a:extLst>
            <a:ext uri="{FF2B5EF4-FFF2-40B4-BE49-F238E27FC236}">
              <a16:creationId xmlns:a16="http://schemas.microsoft.com/office/drawing/2014/main" id="{CE5B0EBC-4D2E-4F3B-9342-FBF848F47D7B}"/>
            </a:ext>
          </a:extLst>
        </xdr:cNvPr>
        <xdr:cNvSpPr/>
      </xdr:nvSpPr>
      <xdr:spPr>
        <a:xfrm>
          <a:off x="19080480" y="1326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726</xdr:row>
      <xdr:rowOff>0</xdr:rowOff>
    </xdr:from>
    <xdr:to>
      <xdr:col>5</xdr:col>
      <xdr:colOff>83820</xdr:colOff>
      <xdr:row>726</xdr:row>
      <xdr:rowOff>114300</xdr:rowOff>
    </xdr:to>
    <xdr:sp macro="" textlink="">
      <xdr:nvSpPr>
        <xdr:cNvPr id="5339" name="Arrow: Down 5338">
          <a:extLst>
            <a:ext uri="{FF2B5EF4-FFF2-40B4-BE49-F238E27FC236}">
              <a16:creationId xmlns:a16="http://schemas.microsoft.com/office/drawing/2014/main" id="{00A5CF44-3EEC-4029-9E33-BBFF99BBC7BC}"/>
            </a:ext>
          </a:extLst>
        </xdr:cNvPr>
        <xdr:cNvSpPr/>
      </xdr:nvSpPr>
      <xdr:spPr>
        <a:xfrm rot="10800000">
          <a:off x="192786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726</xdr:row>
      <xdr:rowOff>0</xdr:rowOff>
    </xdr:from>
    <xdr:to>
      <xdr:col>11</xdr:col>
      <xdr:colOff>83820</xdr:colOff>
      <xdr:row>726</xdr:row>
      <xdr:rowOff>114300</xdr:rowOff>
    </xdr:to>
    <xdr:sp macro="" textlink="">
      <xdr:nvSpPr>
        <xdr:cNvPr id="5343" name="Arrow: Down 5342">
          <a:extLst>
            <a:ext uri="{FF2B5EF4-FFF2-40B4-BE49-F238E27FC236}">
              <a16:creationId xmlns:a16="http://schemas.microsoft.com/office/drawing/2014/main" id="{0436979E-3D3C-438D-9523-592692127978}"/>
            </a:ext>
          </a:extLst>
        </xdr:cNvPr>
        <xdr:cNvSpPr/>
      </xdr:nvSpPr>
      <xdr:spPr>
        <a:xfrm rot="10800000">
          <a:off x="369570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726</xdr:row>
      <xdr:rowOff>0</xdr:rowOff>
    </xdr:from>
    <xdr:to>
      <xdr:col>24</xdr:col>
      <xdr:colOff>83820</xdr:colOff>
      <xdr:row>726</xdr:row>
      <xdr:rowOff>114300</xdr:rowOff>
    </xdr:to>
    <xdr:sp macro="" textlink="">
      <xdr:nvSpPr>
        <xdr:cNvPr id="5364" name="Arrow: Down 5363">
          <a:extLst>
            <a:ext uri="{FF2B5EF4-FFF2-40B4-BE49-F238E27FC236}">
              <a16:creationId xmlns:a16="http://schemas.microsoft.com/office/drawing/2014/main" id="{F1F7BAC4-245B-45C7-BB4C-F85705E0299E}"/>
            </a:ext>
          </a:extLst>
        </xdr:cNvPr>
        <xdr:cNvSpPr/>
      </xdr:nvSpPr>
      <xdr:spPr>
        <a:xfrm rot="10800000">
          <a:off x="833628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726</xdr:row>
      <xdr:rowOff>0</xdr:rowOff>
    </xdr:from>
    <xdr:to>
      <xdr:col>39</xdr:col>
      <xdr:colOff>83820</xdr:colOff>
      <xdr:row>726</xdr:row>
      <xdr:rowOff>114300</xdr:rowOff>
    </xdr:to>
    <xdr:sp macro="" textlink="">
      <xdr:nvSpPr>
        <xdr:cNvPr id="5368" name="Arrow: Down 5367">
          <a:extLst>
            <a:ext uri="{FF2B5EF4-FFF2-40B4-BE49-F238E27FC236}">
              <a16:creationId xmlns:a16="http://schemas.microsoft.com/office/drawing/2014/main" id="{3EF17DB6-8A6F-4A98-AAAC-9FBFBE3E3EA1}"/>
            </a:ext>
          </a:extLst>
        </xdr:cNvPr>
        <xdr:cNvSpPr/>
      </xdr:nvSpPr>
      <xdr:spPr>
        <a:xfrm rot="10800000">
          <a:off x="11544300" y="1328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727</xdr:row>
      <xdr:rowOff>0</xdr:rowOff>
    </xdr:from>
    <xdr:to>
      <xdr:col>64</xdr:col>
      <xdr:colOff>83820</xdr:colOff>
      <xdr:row>727</xdr:row>
      <xdr:rowOff>114300</xdr:rowOff>
    </xdr:to>
    <xdr:sp macro="" textlink="">
      <xdr:nvSpPr>
        <xdr:cNvPr id="5388" name="Arrow: Down 5387">
          <a:extLst>
            <a:ext uri="{FF2B5EF4-FFF2-40B4-BE49-F238E27FC236}">
              <a16:creationId xmlns:a16="http://schemas.microsoft.com/office/drawing/2014/main" id="{3A6A07DC-625B-4505-A871-C765372E9D31}"/>
            </a:ext>
          </a:extLst>
        </xdr:cNvPr>
        <xdr:cNvSpPr/>
      </xdr:nvSpPr>
      <xdr:spPr>
        <a:xfrm rot="10800000">
          <a:off x="19347180" y="132869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727</xdr:row>
      <xdr:rowOff>0</xdr:rowOff>
    </xdr:from>
    <xdr:to>
      <xdr:col>45</xdr:col>
      <xdr:colOff>83820</xdr:colOff>
      <xdr:row>727</xdr:row>
      <xdr:rowOff>114300</xdr:rowOff>
    </xdr:to>
    <xdr:sp macro="" textlink="">
      <xdr:nvSpPr>
        <xdr:cNvPr id="5392" name="Arrow: Down 5391">
          <a:extLst>
            <a:ext uri="{FF2B5EF4-FFF2-40B4-BE49-F238E27FC236}">
              <a16:creationId xmlns:a16="http://schemas.microsoft.com/office/drawing/2014/main" id="{2C5AD892-583B-4796-B1DC-BEE9E897B5A2}"/>
            </a:ext>
          </a:extLst>
        </xdr:cNvPr>
        <xdr:cNvSpPr/>
      </xdr:nvSpPr>
      <xdr:spPr>
        <a:xfrm rot="10800000">
          <a:off x="13403580" y="1328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727</xdr:row>
      <xdr:rowOff>0</xdr:rowOff>
    </xdr:from>
    <xdr:to>
      <xdr:col>71</xdr:col>
      <xdr:colOff>83820</xdr:colOff>
      <xdr:row>727</xdr:row>
      <xdr:rowOff>114300</xdr:rowOff>
    </xdr:to>
    <xdr:sp macro="" textlink="">
      <xdr:nvSpPr>
        <xdr:cNvPr id="5393" name="Arrow: Down 5392">
          <a:extLst>
            <a:ext uri="{FF2B5EF4-FFF2-40B4-BE49-F238E27FC236}">
              <a16:creationId xmlns:a16="http://schemas.microsoft.com/office/drawing/2014/main" id="{813DB54F-3E45-43BC-8B69-F7DA718D415B}"/>
            </a:ext>
          </a:extLst>
        </xdr:cNvPr>
        <xdr:cNvSpPr/>
      </xdr:nvSpPr>
      <xdr:spPr>
        <a:xfrm>
          <a:off x="21960840" y="1328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727</xdr:row>
      <xdr:rowOff>0</xdr:rowOff>
    </xdr:from>
    <xdr:to>
      <xdr:col>5</xdr:col>
      <xdr:colOff>83820</xdr:colOff>
      <xdr:row>727</xdr:row>
      <xdr:rowOff>114300</xdr:rowOff>
    </xdr:to>
    <xdr:sp macro="" textlink="">
      <xdr:nvSpPr>
        <xdr:cNvPr id="5406" name="Arrow: Down 5405">
          <a:extLst>
            <a:ext uri="{FF2B5EF4-FFF2-40B4-BE49-F238E27FC236}">
              <a16:creationId xmlns:a16="http://schemas.microsoft.com/office/drawing/2014/main" id="{F58D00F0-3C02-47AC-B22B-CAFF95E4237B}"/>
            </a:ext>
          </a:extLst>
        </xdr:cNvPr>
        <xdr:cNvSpPr/>
      </xdr:nvSpPr>
      <xdr:spPr>
        <a:xfrm rot="10800000">
          <a:off x="192786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727</xdr:row>
      <xdr:rowOff>0</xdr:rowOff>
    </xdr:from>
    <xdr:to>
      <xdr:col>11</xdr:col>
      <xdr:colOff>83820</xdr:colOff>
      <xdr:row>727</xdr:row>
      <xdr:rowOff>114300</xdr:rowOff>
    </xdr:to>
    <xdr:sp macro="" textlink="">
      <xdr:nvSpPr>
        <xdr:cNvPr id="5408" name="Arrow: Down 5407">
          <a:extLst>
            <a:ext uri="{FF2B5EF4-FFF2-40B4-BE49-F238E27FC236}">
              <a16:creationId xmlns:a16="http://schemas.microsoft.com/office/drawing/2014/main" id="{17E4F157-D252-4B4E-96DD-61C73400E14D}"/>
            </a:ext>
          </a:extLst>
        </xdr:cNvPr>
        <xdr:cNvSpPr/>
      </xdr:nvSpPr>
      <xdr:spPr>
        <a:xfrm rot="10800000">
          <a:off x="369570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727</xdr:row>
      <xdr:rowOff>0</xdr:rowOff>
    </xdr:from>
    <xdr:to>
      <xdr:col>24</xdr:col>
      <xdr:colOff>83820</xdr:colOff>
      <xdr:row>727</xdr:row>
      <xdr:rowOff>114300</xdr:rowOff>
    </xdr:to>
    <xdr:sp macro="" textlink="">
      <xdr:nvSpPr>
        <xdr:cNvPr id="5411" name="Arrow: Down 5410">
          <a:extLst>
            <a:ext uri="{FF2B5EF4-FFF2-40B4-BE49-F238E27FC236}">
              <a16:creationId xmlns:a16="http://schemas.microsoft.com/office/drawing/2014/main" id="{9A080D6C-B0AB-4C3C-AD87-0D74B81A484F}"/>
            </a:ext>
          </a:extLst>
        </xdr:cNvPr>
        <xdr:cNvSpPr/>
      </xdr:nvSpPr>
      <xdr:spPr>
        <a:xfrm rot="10800000">
          <a:off x="833628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727</xdr:row>
      <xdr:rowOff>0</xdr:rowOff>
    </xdr:from>
    <xdr:to>
      <xdr:col>39</xdr:col>
      <xdr:colOff>83820</xdr:colOff>
      <xdr:row>727</xdr:row>
      <xdr:rowOff>114300</xdr:rowOff>
    </xdr:to>
    <xdr:sp macro="" textlink="">
      <xdr:nvSpPr>
        <xdr:cNvPr id="5421" name="Arrow: Down 5420">
          <a:extLst>
            <a:ext uri="{FF2B5EF4-FFF2-40B4-BE49-F238E27FC236}">
              <a16:creationId xmlns:a16="http://schemas.microsoft.com/office/drawing/2014/main" id="{2736B6A2-D6CF-4405-9F51-76D6170FC5BB}"/>
            </a:ext>
          </a:extLst>
        </xdr:cNvPr>
        <xdr:cNvSpPr/>
      </xdr:nvSpPr>
      <xdr:spPr>
        <a:xfrm rot="10800000">
          <a:off x="1154430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727</xdr:row>
      <xdr:rowOff>0</xdr:rowOff>
    </xdr:from>
    <xdr:to>
      <xdr:col>60</xdr:col>
      <xdr:colOff>83820</xdr:colOff>
      <xdr:row>727</xdr:row>
      <xdr:rowOff>114300</xdr:rowOff>
    </xdr:to>
    <xdr:sp macro="" textlink="">
      <xdr:nvSpPr>
        <xdr:cNvPr id="5432" name="Arrow: Down 5431">
          <a:extLst>
            <a:ext uri="{FF2B5EF4-FFF2-40B4-BE49-F238E27FC236}">
              <a16:creationId xmlns:a16="http://schemas.microsoft.com/office/drawing/2014/main" id="{B96555C5-E3A2-45DD-AAC2-B9D80CB68974}"/>
            </a:ext>
          </a:extLst>
        </xdr:cNvPr>
        <xdr:cNvSpPr/>
      </xdr:nvSpPr>
      <xdr:spPr>
        <a:xfrm rot="10800000">
          <a:off x="190804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728</xdr:row>
      <xdr:rowOff>0</xdr:rowOff>
    </xdr:from>
    <xdr:to>
      <xdr:col>64</xdr:col>
      <xdr:colOff>83820</xdr:colOff>
      <xdr:row>728</xdr:row>
      <xdr:rowOff>114300</xdr:rowOff>
    </xdr:to>
    <xdr:sp macro="" textlink="">
      <xdr:nvSpPr>
        <xdr:cNvPr id="5442" name="Arrow: Down 5441">
          <a:extLst>
            <a:ext uri="{FF2B5EF4-FFF2-40B4-BE49-F238E27FC236}">
              <a16:creationId xmlns:a16="http://schemas.microsoft.com/office/drawing/2014/main" id="{5488973B-22B3-4E26-8F12-B5F4855783FF}"/>
            </a:ext>
          </a:extLst>
        </xdr:cNvPr>
        <xdr:cNvSpPr/>
      </xdr:nvSpPr>
      <xdr:spPr>
        <a:xfrm rot="10800000">
          <a:off x="19347180" y="133052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728</xdr:row>
      <xdr:rowOff>0</xdr:rowOff>
    </xdr:from>
    <xdr:to>
      <xdr:col>45</xdr:col>
      <xdr:colOff>83820</xdr:colOff>
      <xdr:row>728</xdr:row>
      <xdr:rowOff>114300</xdr:rowOff>
    </xdr:to>
    <xdr:sp macro="" textlink="">
      <xdr:nvSpPr>
        <xdr:cNvPr id="5448" name="Arrow: Down 5447">
          <a:extLst>
            <a:ext uri="{FF2B5EF4-FFF2-40B4-BE49-F238E27FC236}">
              <a16:creationId xmlns:a16="http://schemas.microsoft.com/office/drawing/2014/main" id="{8334ECA0-E0EC-49D4-B0BD-C083B35D4E5B}"/>
            </a:ext>
          </a:extLst>
        </xdr:cNvPr>
        <xdr:cNvSpPr/>
      </xdr:nvSpPr>
      <xdr:spPr>
        <a:xfrm rot="10800000">
          <a:off x="13403580" y="133052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728</xdr:row>
      <xdr:rowOff>0</xdr:rowOff>
    </xdr:from>
    <xdr:to>
      <xdr:col>71</xdr:col>
      <xdr:colOff>83820</xdr:colOff>
      <xdr:row>728</xdr:row>
      <xdr:rowOff>114300</xdr:rowOff>
    </xdr:to>
    <xdr:sp macro="" textlink="">
      <xdr:nvSpPr>
        <xdr:cNvPr id="5450" name="Arrow: Down 5449">
          <a:extLst>
            <a:ext uri="{FF2B5EF4-FFF2-40B4-BE49-F238E27FC236}">
              <a16:creationId xmlns:a16="http://schemas.microsoft.com/office/drawing/2014/main" id="{86B69BAF-D978-4C47-AFBF-1845ED7C0BEB}"/>
            </a:ext>
          </a:extLst>
        </xdr:cNvPr>
        <xdr:cNvSpPr/>
      </xdr:nvSpPr>
      <xdr:spPr>
        <a:xfrm>
          <a:off x="21960840" y="1330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728</xdr:row>
      <xdr:rowOff>0</xdr:rowOff>
    </xdr:from>
    <xdr:to>
      <xdr:col>5</xdr:col>
      <xdr:colOff>83820</xdr:colOff>
      <xdr:row>728</xdr:row>
      <xdr:rowOff>114300</xdr:rowOff>
    </xdr:to>
    <xdr:sp macro="" textlink="">
      <xdr:nvSpPr>
        <xdr:cNvPr id="5452" name="Arrow: Down 5451">
          <a:extLst>
            <a:ext uri="{FF2B5EF4-FFF2-40B4-BE49-F238E27FC236}">
              <a16:creationId xmlns:a16="http://schemas.microsoft.com/office/drawing/2014/main" id="{E8AC3B03-1858-42F1-8AA9-7E1379CB41A1}"/>
            </a:ext>
          </a:extLst>
        </xdr:cNvPr>
        <xdr:cNvSpPr/>
      </xdr:nvSpPr>
      <xdr:spPr>
        <a:xfrm rot="10800000">
          <a:off x="192786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728</xdr:row>
      <xdr:rowOff>0</xdr:rowOff>
    </xdr:from>
    <xdr:to>
      <xdr:col>11</xdr:col>
      <xdr:colOff>83820</xdr:colOff>
      <xdr:row>728</xdr:row>
      <xdr:rowOff>114300</xdr:rowOff>
    </xdr:to>
    <xdr:sp macro="" textlink="">
      <xdr:nvSpPr>
        <xdr:cNvPr id="5453" name="Arrow: Down 5452">
          <a:extLst>
            <a:ext uri="{FF2B5EF4-FFF2-40B4-BE49-F238E27FC236}">
              <a16:creationId xmlns:a16="http://schemas.microsoft.com/office/drawing/2014/main" id="{647376F1-F3C3-44CE-8ED3-87301B8731D3}"/>
            </a:ext>
          </a:extLst>
        </xdr:cNvPr>
        <xdr:cNvSpPr/>
      </xdr:nvSpPr>
      <xdr:spPr>
        <a:xfrm rot="10800000">
          <a:off x="369570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728</xdr:row>
      <xdr:rowOff>0</xdr:rowOff>
    </xdr:from>
    <xdr:to>
      <xdr:col>24</xdr:col>
      <xdr:colOff>83820</xdr:colOff>
      <xdr:row>728</xdr:row>
      <xdr:rowOff>114300</xdr:rowOff>
    </xdr:to>
    <xdr:sp macro="" textlink="">
      <xdr:nvSpPr>
        <xdr:cNvPr id="5454" name="Arrow: Down 5453">
          <a:extLst>
            <a:ext uri="{FF2B5EF4-FFF2-40B4-BE49-F238E27FC236}">
              <a16:creationId xmlns:a16="http://schemas.microsoft.com/office/drawing/2014/main" id="{F071735D-A629-40BD-837D-E6CB7C9755D0}"/>
            </a:ext>
          </a:extLst>
        </xdr:cNvPr>
        <xdr:cNvSpPr/>
      </xdr:nvSpPr>
      <xdr:spPr>
        <a:xfrm rot="10800000">
          <a:off x="83362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728</xdr:row>
      <xdr:rowOff>0</xdr:rowOff>
    </xdr:from>
    <xdr:to>
      <xdr:col>60</xdr:col>
      <xdr:colOff>83820</xdr:colOff>
      <xdr:row>728</xdr:row>
      <xdr:rowOff>114300</xdr:rowOff>
    </xdr:to>
    <xdr:sp macro="" textlink="">
      <xdr:nvSpPr>
        <xdr:cNvPr id="5456" name="Arrow: Down 5455">
          <a:extLst>
            <a:ext uri="{FF2B5EF4-FFF2-40B4-BE49-F238E27FC236}">
              <a16:creationId xmlns:a16="http://schemas.microsoft.com/office/drawing/2014/main" id="{F594E1FA-BE87-49A6-9658-C17EE3C6BBE2}"/>
            </a:ext>
          </a:extLst>
        </xdr:cNvPr>
        <xdr:cNvSpPr/>
      </xdr:nvSpPr>
      <xdr:spPr>
        <a:xfrm rot="10800000">
          <a:off x="190804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728</xdr:row>
      <xdr:rowOff>0</xdr:rowOff>
    </xdr:from>
    <xdr:to>
      <xdr:col>39</xdr:col>
      <xdr:colOff>83820</xdr:colOff>
      <xdr:row>728</xdr:row>
      <xdr:rowOff>114300</xdr:rowOff>
    </xdr:to>
    <xdr:sp macro="" textlink="">
      <xdr:nvSpPr>
        <xdr:cNvPr id="5471" name="Arrow: Down 5470">
          <a:extLst>
            <a:ext uri="{FF2B5EF4-FFF2-40B4-BE49-F238E27FC236}">
              <a16:creationId xmlns:a16="http://schemas.microsoft.com/office/drawing/2014/main" id="{981EE3D8-C135-4EAB-8135-D7AA3156E59F}"/>
            </a:ext>
          </a:extLst>
        </xdr:cNvPr>
        <xdr:cNvSpPr/>
      </xdr:nvSpPr>
      <xdr:spPr>
        <a:xfrm rot="10800000">
          <a:off x="11544300" y="133235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729</xdr:row>
      <xdr:rowOff>0</xdr:rowOff>
    </xdr:from>
    <xdr:to>
      <xdr:col>64</xdr:col>
      <xdr:colOff>83820</xdr:colOff>
      <xdr:row>729</xdr:row>
      <xdr:rowOff>114300</xdr:rowOff>
    </xdr:to>
    <xdr:sp macro="" textlink="">
      <xdr:nvSpPr>
        <xdr:cNvPr id="5332" name="Arrow: Down 5331">
          <a:extLst>
            <a:ext uri="{FF2B5EF4-FFF2-40B4-BE49-F238E27FC236}">
              <a16:creationId xmlns:a16="http://schemas.microsoft.com/office/drawing/2014/main" id="{7CB9EFC5-2E7E-4E82-8756-48F23C01565A}"/>
            </a:ext>
          </a:extLst>
        </xdr:cNvPr>
        <xdr:cNvSpPr/>
      </xdr:nvSpPr>
      <xdr:spPr>
        <a:xfrm rot="10800000">
          <a:off x="19347180" y="133235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729</xdr:row>
      <xdr:rowOff>0</xdr:rowOff>
    </xdr:from>
    <xdr:to>
      <xdr:col>45</xdr:col>
      <xdr:colOff>83820</xdr:colOff>
      <xdr:row>729</xdr:row>
      <xdr:rowOff>114300</xdr:rowOff>
    </xdr:to>
    <xdr:sp macro="" textlink="">
      <xdr:nvSpPr>
        <xdr:cNvPr id="5335" name="Arrow: Down 5334">
          <a:extLst>
            <a:ext uri="{FF2B5EF4-FFF2-40B4-BE49-F238E27FC236}">
              <a16:creationId xmlns:a16="http://schemas.microsoft.com/office/drawing/2014/main" id="{A27D2529-9D08-4588-A38D-9759E03A9DD7}"/>
            </a:ext>
          </a:extLst>
        </xdr:cNvPr>
        <xdr:cNvSpPr/>
      </xdr:nvSpPr>
      <xdr:spPr>
        <a:xfrm rot="10800000">
          <a:off x="13403580" y="133235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729</xdr:row>
      <xdr:rowOff>0</xdr:rowOff>
    </xdr:from>
    <xdr:to>
      <xdr:col>71</xdr:col>
      <xdr:colOff>83820</xdr:colOff>
      <xdr:row>729</xdr:row>
      <xdr:rowOff>114300</xdr:rowOff>
    </xdr:to>
    <xdr:sp macro="" textlink="">
      <xdr:nvSpPr>
        <xdr:cNvPr id="5337" name="Arrow: Down 5336">
          <a:extLst>
            <a:ext uri="{FF2B5EF4-FFF2-40B4-BE49-F238E27FC236}">
              <a16:creationId xmlns:a16="http://schemas.microsoft.com/office/drawing/2014/main" id="{83E09672-FA6E-490F-9095-91D939AEC01A}"/>
            </a:ext>
          </a:extLst>
        </xdr:cNvPr>
        <xdr:cNvSpPr/>
      </xdr:nvSpPr>
      <xdr:spPr>
        <a:xfrm>
          <a:off x="21960840" y="1332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729</xdr:row>
      <xdr:rowOff>0</xdr:rowOff>
    </xdr:from>
    <xdr:to>
      <xdr:col>60</xdr:col>
      <xdr:colOff>83820</xdr:colOff>
      <xdr:row>729</xdr:row>
      <xdr:rowOff>114300</xdr:rowOff>
    </xdr:to>
    <xdr:sp macro="" textlink="">
      <xdr:nvSpPr>
        <xdr:cNvPr id="5369" name="Arrow: Down 5368">
          <a:extLst>
            <a:ext uri="{FF2B5EF4-FFF2-40B4-BE49-F238E27FC236}">
              <a16:creationId xmlns:a16="http://schemas.microsoft.com/office/drawing/2014/main" id="{50138F44-A1FE-4C7B-AC12-990860FADA1C}"/>
            </a:ext>
          </a:extLst>
        </xdr:cNvPr>
        <xdr:cNvSpPr/>
      </xdr:nvSpPr>
      <xdr:spPr>
        <a:xfrm rot="10800000">
          <a:off x="19080480" y="1332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729</xdr:row>
      <xdr:rowOff>0</xdr:rowOff>
    </xdr:from>
    <xdr:to>
      <xdr:col>39</xdr:col>
      <xdr:colOff>83820</xdr:colOff>
      <xdr:row>729</xdr:row>
      <xdr:rowOff>114300</xdr:rowOff>
    </xdr:to>
    <xdr:sp macro="" textlink="">
      <xdr:nvSpPr>
        <xdr:cNvPr id="5377" name="Arrow: Down 5376">
          <a:extLst>
            <a:ext uri="{FF2B5EF4-FFF2-40B4-BE49-F238E27FC236}">
              <a16:creationId xmlns:a16="http://schemas.microsoft.com/office/drawing/2014/main" id="{B77B8212-7F1C-4892-A551-4E562BC3BDCA}"/>
            </a:ext>
          </a:extLst>
        </xdr:cNvPr>
        <xdr:cNvSpPr/>
      </xdr:nvSpPr>
      <xdr:spPr>
        <a:xfrm rot="10800000">
          <a:off x="1154430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729</xdr:row>
      <xdr:rowOff>0</xdr:rowOff>
    </xdr:from>
    <xdr:to>
      <xdr:col>24</xdr:col>
      <xdr:colOff>83820</xdr:colOff>
      <xdr:row>729</xdr:row>
      <xdr:rowOff>114300</xdr:rowOff>
    </xdr:to>
    <xdr:sp macro="" textlink="">
      <xdr:nvSpPr>
        <xdr:cNvPr id="5381" name="Arrow: Down 5380">
          <a:extLst>
            <a:ext uri="{FF2B5EF4-FFF2-40B4-BE49-F238E27FC236}">
              <a16:creationId xmlns:a16="http://schemas.microsoft.com/office/drawing/2014/main" id="{89673673-34DE-4D2A-8C2F-CBDB8C828987}"/>
            </a:ext>
          </a:extLst>
        </xdr:cNvPr>
        <xdr:cNvSpPr/>
      </xdr:nvSpPr>
      <xdr:spPr>
        <a:xfrm>
          <a:off x="833628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729</xdr:row>
      <xdr:rowOff>0</xdr:rowOff>
    </xdr:from>
    <xdr:to>
      <xdr:col>11</xdr:col>
      <xdr:colOff>83820</xdr:colOff>
      <xdr:row>729</xdr:row>
      <xdr:rowOff>114300</xdr:rowOff>
    </xdr:to>
    <xdr:sp macro="" textlink="">
      <xdr:nvSpPr>
        <xdr:cNvPr id="5384" name="Arrow: Down 5383">
          <a:extLst>
            <a:ext uri="{FF2B5EF4-FFF2-40B4-BE49-F238E27FC236}">
              <a16:creationId xmlns:a16="http://schemas.microsoft.com/office/drawing/2014/main" id="{293176DB-3CAB-409B-B5D9-2785F95B6F46}"/>
            </a:ext>
          </a:extLst>
        </xdr:cNvPr>
        <xdr:cNvSpPr/>
      </xdr:nvSpPr>
      <xdr:spPr>
        <a:xfrm>
          <a:off x="369570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729</xdr:row>
      <xdr:rowOff>0</xdr:rowOff>
    </xdr:from>
    <xdr:to>
      <xdr:col>5</xdr:col>
      <xdr:colOff>83820</xdr:colOff>
      <xdr:row>729</xdr:row>
      <xdr:rowOff>114300</xdr:rowOff>
    </xdr:to>
    <xdr:sp macro="" textlink="">
      <xdr:nvSpPr>
        <xdr:cNvPr id="5418" name="Arrow: Down 5417">
          <a:extLst>
            <a:ext uri="{FF2B5EF4-FFF2-40B4-BE49-F238E27FC236}">
              <a16:creationId xmlns:a16="http://schemas.microsoft.com/office/drawing/2014/main" id="{E1625671-F6DD-4F61-B268-21FE96A4A917}"/>
            </a:ext>
          </a:extLst>
        </xdr:cNvPr>
        <xdr:cNvSpPr/>
      </xdr:nvSpPr>
      <xdr:spPr>
        <a:xfrm>
          <a:off x="192786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730</xdr:row>
      <xdr:rowOff>0</xdr:rowOff>
    </xdr:from>
    <xdr:to>
      <xdr:col>64</xdr:col>
      <xdr:colOff>83820</xdr:colOff>
      <xdr:row>730</xdr:row>
      <xdr:rowOff>114300</xdr:rowOff>
    </xdr:to>
    <xdr:sp macro="" textlink="">
      <xdr:nvSpPr>
        <xdr:cNvPr id="5491" name="Arrow: Down 5490">
          <a:extLst>
            <a:ext uri="{FF2B5EF4-FFF2-40B4-BE49-F238E27FC236}">
              <a16:creationId xmlns:a16="http://schemas.microsoft.com/office/drawing/2014/main" id="{941BFF56-6627-4598-AF20-ED0825F621C9}"/>
            </a:ext>
          </a:extLst>
        </xdr:cNvPr>
        <xdr:cNvSpPr/>
      </xdr:nvSpPr>
      <xdr:spPr>
        <a:xfrm rot="10800000">
          <a:off x="19347180" y="133418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730</xdr:row>
      <xdr:rowOff>0</xdr:rowOff>
    </xdr:from>
    <xdr:to>
      <xdr:col>45</xdr:col>
      <xdr:colOff>83820</xdr:colOff>
      <xdr:row>730</xdr:row>
      <xdr:rowOff>114300</xdr:rowOff>
    </xdr:to>
    <xdr:sp macro="" textlink="">
      <xdr:nvSpPr>
        <xdr:cNvPr id="5492" name="Arrow: Down 5491">
          <a:extLst>
            <a:ext uri="{FF2B5EF4-FFF2-40B4-BE49-F238E27FC236}">
              <a16:creationId xmlns:a16="http://schemas.microsoft.com/office/drawing/2014/main" id="{BD51C82E-7D64-4687-AAFA-AE791D873321}"/>
            </a:ext>
          </a:extLst>
        </xdr:cNvPr>
        <xdr:cNvSpPr/>
      </xdr:nvSpPr>
      <xdr:spPr>
        <a:xfrm rot="10800000">
          <a:off x="13403580" y="133418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730</xdr:row>
      <xdr:rowOff>0</xdr:rowOff>
    </xdr:from>
    <xdr:to>
      <xdr:col>71</xdr:col>
      <xdr:colOff>83820</xdr:colOff>
      <xdr:row>730</xdr:row>
      <xdr:rowOff>114300</xdr:rowOff>
    </xdr:to>
    <xdr:sp macro="" textlink="">
      <xdr:nvSpPr>
        <xdr:cNvPr id="5493" name="Arrow: Down 5492">
          <a:extLst>
            <a:ext uri="{FF2B5EF4-FFF2-40B4-BE49-F238E27FC236}">
              <a16:creationId xmlns:a16="http://schemas.microsoft.com/office/drawing/2014/main" id="{E106D58F-1029-4B08-BAF5-8236B3FA2707}"/>
            </a:ext>
          </a:extLst>
        </xdr:cNvPr>
        <xdr:cNvSpPr/>
      </xdr:nvSpPr>
      <xdr:spPr>
        <a:xfrm>
          <a:off x="2196084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730</xdr:row>
      <xdr:rowOff>0</xdr:rowOff>
    </xdr:from>
    <xdr:to>
      <xdr:col>60</xdr:col>
      <xdr:colOff>83820</xdr:colOff>
      <xdr:row>730</xdr:row>
      <xdr:rowOff>114300</xdr:rowOff>
    </xdr:to>
    <xdr:sp macro="" textlink="">
      <xdr:nvSpPr>
        <xdr:cNvPr id="5495" name="Arrow: Down 5494">
          <a:extLst>
            <a:ext uri="{FF2B5EF4-FFF2-40B4-BE49-F238E27FC236}">
              <a16:creationId xmlns:a16="http://schemas.microsoft.com/office/drawing/2014/main" id="{2FAC3A3D-FB78-430C-816F-718A6D1A4D74}"/>
            </a:ext>
          </a:extLst>
        </xdr:cNvPr>
        <xdr:cNvSpPr/>
      </xdr:nvSpPr>
      <xdr:spPr>
        <a:xfrm rot="10800000">
          <a:off x="1908048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730</xdr:row>
      <xdr:rowOff>0</xdr:rowOff>
    </xdr:from>
    <xdr:to>
      <xdr:col>39</xdr:col>
      <xdr:colOff>83820</xdr:colOff>
      <xdr:row>730</xdr:row>
      <xdr:rowOff>114300</xdr:rowOff>
    </xdr:to>
    <xdr:sp macro="" textlink="">
      <xdr:nvSpPr>
        <xdr:cNvPr id="5496" name="Arrow: Down 5495">
          <a:extLst>
            <a:ext uri="{FF2B5EF4-FFF2-40B4-BE49-F238E27FC236}">
              <a16:creationId xmlns:a16="http://schemas.microsoft.com/office/drawing/2014/main" id="{B6EB5826-F07F-4A30-B61E-1BBFA2D9572E}"/>
            </a:ext>
          </a:extLst>
        </xdr:cNvPr>
        <xdr:cNvSpPr/>
      </xdr:nvSpPr>
      <xdr:spPr>
        <a:xfrm rot="10800000">
          <a:off x="1154430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730</xdr:row>
      <xdr:rowOff>0</xdr:rowOff>
    </xdr:from>
    <xdr:to>
      <xdr:col>24</xdr:col>
      <xdr:colOff>83820</xdr:colOff>
      <xdr:row>730</xdr:row>
      <xdr:rowOff>114300</xdr:rowOff>
    </xdr:to>
    <xdr:sp macro="" textlink="">
      <xdr:nvSpPr>
        <xdr:cNvPr id="5497" name="Arrow: Down 5496">
          <a:extLst>
            <a:ext uri="{FF2B5EF4-FFF2-40B4-BE49-F238E27FC236}">
              <a16:creationId xmlns:a16="http://schemas.microsoft.com/office/drawing/2014/main" id="{203E7C14-8128-49D2-811C-B0B297588477}"/>
            </a:ext>
          </a:extLst>
        </xdr:cNvPr>
        <xdr:cNvSpPr/>
      </xdr:nvSpPr>
      <xdr:spPr>
        <a:xfrm>
          <a:off x="833628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730</xdr:row>
      <xdr:rowOff>0</xdr:rowOff>
    </xdr:from>
    <xdr:to>
      <xdr:col>11</xdr:col>
      <xdr:colOff>83820</xdr:colOff>
      <xdr:row>730</xdr:row>
      <xdr:rowOff>114300</xdr:rowOff>
    </xdr:to>
    <xdr:sp macro="" textlink="">
      <xdr:nvSpPr>
        <xdr:cNvPr id="5505" name="Arrow: Down 5504">
          <a:extLst>
            <a:ext uri="{FF2B5EF4-FFF2-40B4-BE49-F238E27FC236}">
              <a16:creationId xmlns:a16="http://schemas.microsoft.com/office/drawing/2014/main" id="{11739E24-119F-4CEB-B1EB-78D08B7E6A21}"/>
            </a:ext>
          </a:extLst>
        </xdr:cNvPr>
        <xdr:cNvSpPr/>
      </xdr:nvSpPr>
      <xdr:spPr>
        <a:xfrm rot="10800000">
          <a:off x="369570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730</xdr:row>
      <xdr:rowOff>0</xdr:rowOff>
    </xdr:from>
    <xdr:to>
      <xdr:col>5</xdr:col>
      <xdr:colOff>83820</xdr:colOff>
      <xdr:row>730</xdr:row>
      <xdr:rowOff>114300</xdr:rowOff>
    </xdr:to>
    <xdr:sp macro="" textlink="">
      <xdr:nvSpPr>
        <xdr:cNvPr id="5507" name="Arrow: Down 5506">
          <a:extLst>
            <a:ext uri="{FF2B5EF4-FFF2-40B4-BE49-F238E27FC236}">
              <a16:creationId xmlns:a16="http://schemas.microsoft.com/office/drawing/2014/main" id="{A50EE8BB-5B78-4B42-A9CC-351E8583E6C4}"/>
            </a:ext>
          </a:extLst>
        </xdr:cNvPr>
        <xdr:cNvSpPr/>
      </xdr:nvSpPr>
      <xdr:spPr>
        <a:xfrm rot="10800000">
          <a:off x="192786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731</xdr:row>
      <xdr:rowOff>0</xdr:rowOff>
    </xdr:from>
    <xdr:to>
      <xdr:col>64</xdr:col>
      <xdr:colOff>83820</xdr:colOff>
      <xdr:row>731</xdr:row>
      <xdr:rowOff>114300</xdr:rowOff>
    </xdr:to>
    <xdr:sp macro="" textlink="">
      <xdr:nvSpPr>
        <xdr:cNvPr id="5521" name="Arrow: Down 5520">
          <a:extLst>
            <a:ext uri="{FF2B5EF4-FFF2-40B4-BE49-F238E27FC236}">
              <a16:creationId xmlns:a16="http://schemas.microsoft.com/office/drawing/2014/main" id="{B810A6B9-3F95-405B-9ADC-8FB4F9B08895}"/>
            </a:ext>
          </a:extLst>
        </xdr:cNvPr>
        <xdr:cNvSpPr/>
      </xdr:nvSpPr>
      <xdr:spPr>
        <a:xfrm rot="10800000">
          <a:off x="19347180" y="133601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731</xdr:row>
      <xdr:rowOff>0</xdr:rowOff>
    </xdr:from>
    <xdr:to>
      <xdr:col>45</xdr:col>
      <xdr:colOff>83820</xdr:colOff>
      <xdr:row>731</xdr:row>
      <xdr:rowOff>114300</xdr:rowOff>
    </xdr:to>
    <xdr:sp macro="" textlink="">
      <xdr:nvSpPr>
        <xdr:cNvPr id="5523" name="Arrow: Down 5522">
          <a:extLst>
            <a:ext uri="{FF2B5EF4-FFF2-40B4-BE49-F238E27FC236}">
              <a16:creationId xmlns:a16="http://schemas.microsoft.com/office/drawing/2014/main" id="{5DA145BD-FD7C-4FC2-B8F6-B4FBCC38F74E}"/>
            </a:ext>
          </a:extLst>
        </xdr:cNvPr>
        <xdr:cNvSpPr/>
      </xdr:nvSpPr>
      <xdr:spPr>
        <a:xfrm rot="10800000">
          <a:off x="13403580" y="133601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731</xdr:row>
      <xdr:rowOff>0</xdr:rowOff>
    </xdr:from>
    <xdr:to>
      <xdr:col>71</xdr:col>
      <xdr:colOff>83820</xdr:colOff>
      <xdr:row>731</xdr:row>
      <xdr:rowOff>114300</xdr:rowOff>
    </xdr:to>
    <xdr:sp macro="" textlink="">
      <xdr:nvSpPr>
        <xdr:cNvPr id="5526" name="Arrow: Down 5525">
          <a:extLst>
            <a:ext uri="{FF2B5EF4-FFF2-40B4-BE49-F238E27FC236}">
              <a16:creationId xmlns:a16="http://schemas.microsoft.com/office/drawing/2014/main" id="{097D8F61-F5D9-466D-9747-DC3C35356248}"/>
            </a:ext>
          </a:extLst>
        </xdr:cNvPr>
        <xdr:cNvSpPr/>
      </xdr:nvSpPr>
      <xdr:spPr>
        <a:xfrm>
          <a:off x="21960840" y="1336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731</xdr:row>
      <xdr:rowOff>0</xdr:rowOff>
    </xdr:from>
    <xdr:to>
      <xdr:col>60</xdr:col>
      <xdr:colOff>83820</xdr:colOff>
      <xdr:row>731</xdr:row>
      <xdr:rowOff>114300</xdr:rowOff>
    </xdr:to>
    <xdr:sp macro="" textlink="">
      <xdr:nvSpPr>
        <xdr:cNvPr id="5527" name="Arrow: Down 5526">
          <a:extLst>
            <a:ext uri="{FF2B5EF4-FFF2-40B4-BE49-F238E27FC236}">
              <a16:creationId xmlns:a16="http://schemas.microsoft.com/office/drawing/2014/main" id="{EF5BEBFF-EB37-44FB-8314-4BB21219FE8C}"/>
            </a:ext>
          </a:extLst>
        </xdr:cNvPr>
        <xdr:cNvSpPr/>
      </xdr:nvSpPr>
      <xdr:spPr>
        <a:xfrm rot="10800000">
          <a:off x="1908048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731</xdr:row>
      <xdr:rowOff>0</xdr:rowOff>
    </xdr:from>
    <xdr:to>
      <xdr:col>24</xdr:col>
      <xdr:colOff>83820</xdr:colOff>
      <xdr:row>731</xdr:row>
      <xdr:rowOff>114300</xdr:rowOff>
    </xdr:to>
    <xdr:sp macro="" textlink="">
      <xdr:nvSpPr>
        <xdr:cNvPr id="5529" name="Arrow: Down 5528">
          <a:extLst>
            <a:ext uri="{FF2B5EF4-FFF2-40B4-BE49-F238E27FC236}">
              <a16:creationId xmlns:a16="http://schemas.microsoft.com/office/drawing/2014/main" id="{204B7C7D-D2F3-476E-8B0E-06189C8DE12A}"/>
            </a:ext>
          </a:extLst>
        </xdr:cNvPr>
        <xdr:cNvSpPr/>
      </xdr:nvSpPr>
      <xdr:spPr>
        <a:xfrm>
          <a:off x="8336280" y="1336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731</xdr:row>
      <xdr:rowOff>0</xdr:rowOff>
    </xdr:from>
    <xdr:to>
      <xdr:col>39</xdr:col>
      <xdr:colOff>83820</xdr:colOff>
      <xdr:row>731</xdr:row>
      <xdr:rowOff>114300</xdr:rowOff>
    </xdr:to>
    <xdr:sp macro="" textlink="">
      <xdr:nvSpPr>
        <xdr:cNvPr id="5533" name="Arrow: Down 5532">
          <a:extLst>
            <a:ext uri="{FF2B5EF4-FFF2-40B4-BE49-F238E27FC236}">
              <a16:creationId xmlns:a16="http://schemas.microsoft.com/office/drawing/2014/main" id="{07A23DB4-03BB-41CE-87C0-3B128FA051A5}"/>
            </a:ext>
          </a:extLst>
        </xdr:cNvPr>
        <xdr:cNvSpPr/>
      </xdr:nvSpPr>
      <xdr:spPr>
        <a:xfrm rot="10800000">
          <a:off x="11544300" y="133784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731</xdr:row>
      <xdr:rowOff>0</xdr:rowOff>
    </xdr:from>
    <xdr:to>
      <xdr:col>5</xdr:col>
      <xdr:colOff>83820</xdr:colOff>
      <xdr:row>731</xdr:row>
      <xdr:rowOff>114300</xdr:rowOff>
    </xdr:to>
    <xdr:sp macro="" textlink="">
      <xdr:nvSpPr>
        <xdr:cNvPr id="5535" name="Arrow: Down 5534">
          <a:extLst>
            <a:ext uri="{FF2B5EF4-FFF2-40B4-BE49-F238E27FC236}">
              <a16:creationId xmlns:a16="http://schemas.microsoft.com/office/drawing/2014/main" id="{B0CBA4DE-BC5D-489C-A9AF-AB4042ABC547}"/>
            </a:ext>
          </a:extLst>
        </xdr:cNvPr>
        <xdr:cNvSpPr/>
      </xdr:nvSpPr>
      <xdr:spPr>
        <a:xfrm>
          <a:off x="192786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731</xdr:row>
      <xdr:rowOff>0</xdr:rowOff>
    </xdr:from>
    <xdr:to>
      <xdr:col>11</xdr:col>
      <xdr:colOff>83820</xdr:colOff>
      <xdr:row>731</xdr:row>
      <xdr:rowOff>114300</xdr:rowOff>
    </xdr:to>
    <xdr:sp macro="" textlink="">
      <xdr:nvSpPr>
        <xdr:cNvPr id="5537" name="Arrow: Down 5536">
          <a:extLst>
            <a:ext uri="{FF2B5EF4-FFF2-40B4-BE49-F238E27FC236}">
              <a16:creationId xmlns:a16="http://schemas.microsoft.com/office/drawing/2014/main" id="{B303D572-11FC-41D3-AB33-A8CEA197BD66}"/>
            </a:ext>
          </a:extLst>
        </xdr:cNvPr>
        <xdr:cNvSpPr/>
      </xdr:nvSpPr>
      <xdr:spPr>
        <a:xfrm>
          <a:off x="369570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732</xdr:row>
      <xdr:rowOff>0</xdr:rowOff>
    </xdr:from>
    <xdr:to>
      <xdr:col>64</xdr:col>
      <xdr:colOff>83820</xdr:colOff>
      <xdr:row>732</xdr:row>
      <xdr:rowOff>114300</xdr:rowOff>
    </xdr:to>
    <xdr:sp macro="" textlink="">
      <xdr:nvSpPr>
        <xdr:cNvPr id="5551" name="Arrow: Down 5550">
          <a:extLst>
            <a:ext uri="{FF2B5EF4-FFF2-40B4-BE49-F238E27FC236}">
              <a16:creationId xmlns:a16="http://schemas.microsoft.com/office/drawing/2014/main" id="{7DCB7A09-4FB7-4A5E-9A53-5253508A7601}"/>
            </a:ext>
          </a:extLst>
        </xdr:cNvPr>
        <xdr:cNvSpPr/>
      </xdr:nvSpPr>
      <xdr:spPr>
        <a:xfrm rot="10800000">
          <a:off x="19347180" y="133784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732</xdr:row>
      <xdr:rowOff>0</xdr:rowOff>
    </xdr:from>
    <xdr:to>
      <xdr:col>45</xdr:col>
      <xdr:colOff>83820</xdr:colOff>
      <xdr:row>732</xdr:row>
      <xdr:rowOff>114300</xdr:rowOff>
    </xdr:to>
    <xdr:sp macro="" textlink="">
      <xdr:nvSpPr>
        <xdr:cNvPr id="5559" name="Arrow: Down 5558">
          <a:extLst>
            <a:ext uri="{FF2B5EF4-FFF2-40B4-BE49-F238E27FC236}">
              <a16:creationId xmlns:a16="http://schemas.microsoft.com/office/drawing/2014/main" id="{0AB1FC2D-A8CF-41C1-B05C-F8B9BE28C28D}"/>
            </a:ext>
          </a:extLst>
        </xdr:cNvPr>
        <xdr:cNvSpPr/>
      </xdr:nvSpPr>
      <xdr:spPr>
        <a:xfrm rot="10800000">
          <a:off x="13403580" y="133784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732</xdr:row>
      <xdr:rowOff>0</xdr:rowOff>
    </xdr:from>
    <xdr:to>
      <xdr:col>71</xdr:col>
      <xdr:colOff>83820</xdr:colOff>
      <xdr:row>732</xdr:row>
      <xdr:rowOff>114300</xdr:rowOff>
    </xdr:to>
    <xdr:sp macro="" textlink="">
      <xdr:nvSpPr>
        <xdr:cNvPr id="5563" name="Arrow: Down 5562">
          <a:extLst>
            <a:ext uri="{FF2B5EF4-FFF2-40B4-BE49-F238E27FC236}">
              <a16:creationId xmlns:a16="http://schemas.microsoft.com/office/drawing/2014/main" id="{2DC08E0C-268E-4FC0-9D68-40D786705E6D}"/>
            </a:ext>
          </a:extLst>
        </xdr:cNvPr>
        <xdr:cNvSpPr/>
      </xdr:nvSpPr>
      <xdr:spPr>
        <a:xfrm>
          <a:off x="2196084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732</xdr:row>
      <xdr:rowOff>0</xdr:rowOff>
    </xdr:from>
    <xdr:to>
      <xdr:col>24</xdr:col>
      <xdr:colOff>83820</xdr:colOff>
      <xdr:row>732</xdr:row>
      <xdr:rowOff>114300</xdr:rowOff>
    </xdr:to>
    <xdr:sp macro="" textlink="">
      <xdr:nvSpPr>
        <xdr:cNvPr id="5566" name="Arrow: Down 5565">
          <a:extLst>
            <a:ext uri="{FF2B5EF4-FFF2-40B4-BE49-F238E27FC236}">
              <a16:creationId xmlns:a16="http://schemas.microsoft.com/office/drawing/2014/main" id="{7F767A92-4C57-4687-9F48-B61065608AC6}"/>
            </a:ext>
          </a:extLst>
        </xdr:cNvPr>
        <xdr:cNvSpPr/>
      </xdr:nvSpPr>
      <xdr:spPr>
        <a:xfrm>
          <a:off x="833628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732</xdr:row>
      <xdr:rowOff>0</xdr:rowOff>
    </xdr:from>
    <xdr:to>
      <xdr:col>5</xdr:col>
      <xdr:colOff>83820</xdr:colOff>
      <xdr:row>732</xdr:row>
      <xdr:rowOff>114300</xdr:rowOff>
    </xdr:to>
    <xdr:sp macro="" textlink="">
      <xdr:nvSpPr>
        <xdr:cNvPr id="5568" name="Arrow: Down 5567">
          <a:extLst>
            <a:ext uri="{FF2B5EF4-FFF2-40B4-BE49-F238E27FC236}">
              <a16:creationId xmlns:a16="http://schemas.microsoft.com/office/drawing/2014/main" id="{318F356A-A3EC-4936-A6C3-E49550B733DD}"/>
            </a:ext>
          </a:extLst>
        </xdr:cNvPr>
        <xdr:cNvSpPr/>
      </xdr:nvSpPr>
      <xdr:spPr>
        <a:xfrm>
          <a:off x="192786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732</xdr:row>
      <xdr:rowOff>0</xdr:rowOff>
    </xdr:from>
    <xdr:to>
      <xdr:col>11</xdr:col>
      <xdr:colOff>83820</xdr:colOff>
      <xdr:row>732</xdr:row>
      <xdr:rowOff>114300</xdr:rowOff>
    </xdr:to>
    <xdr:sp macro="" textlink="">
      <xdr:nvSpPr>
        <xdr:cNvPr id="5569" name="Arrow: Down 5568">
          <a:extLst>
            <a:ext uri="{FF2B5EF4-FFF2-40B4-BE49-F238E27FC236}">
              <a16:creationId xmlns:a16="http://schemas.microsoft.com/office/drawing/2014/main" id="{F67D6089-DDBF-4B87-9865-8834602F3C91}"/>
            </a:ext>
          </a:extLst>
        </xdr:cNvPr>
        <xdr:cNvSpPr/>
      </xdr:nvSpPr>
      <xdr:spPr>
        <a:xfrm>
          <a:off x="369570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732</xdr:row>
      <xdr:rowOff>0</xdr:rowOff>
    </xdr:from>
    <xdr:to>
      <xdr:col>60</xdr:col>
      <xdr:colOff>83820</xdr:colOff>
      <xdr:row>732</xdr:row>
      <xdr:rowOff>114300</xdr:rowOff>
    </xdr:to>
    <xdr:sp macro="" textlink="">
      <xdr:nvSpPr>
        <xdr:cNvPr id="5571" name="Arrow: Down 5570">
          <a:extLst>
            <a:ext uri="{FF2B5EF4-FFF2-40B4-BE49-F238E27FC236}">
              <a16:creationId xmlns:a16="http://schemas.microsoft.com/office/drawing/2014/main" id="{D21E66F2-C26B-4F19-9D27-01B2B6BCA625}"/>
            </a:ext>
          </a:extLst>
        </xdr:cNvPr>
        <xdr:cNvSpPr/>
      </xdr:nvSpPr>
      <xdr:spPr>
        <a:xfrm>
          <a:off x="1908048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732</xdr:row>
      <xdr:rowOff>0</xdr:rowOff>
    </xdr:from>
    <xdr:to>
      <xdr:col>39</xdr:col>
      <xdr:colOff>83820</xdr:colOff>
      <xdr:row>732</xdr:row>
      <xdr:rowOff>114300</xdr:rowOff>
    </xdr:to>
    <xdr:sp macro="" textlink="">
      <xdr:nvSpPr>
        <xdr:cNvPr id="5573" name="Arrow: Down 5572">
          <a:extLst>
            <a:ext uri="{FF2B5EF4-FFF2-40B4-BE49-F238E27FC236}">
              <a16:creationId xmlns:a16="http://schemas.microsoft.com/office/drawing/2014/main" id="{0B0900FF-F512-47E5-B7B8-794F515C4CBA}"/>
            </a:ext>
          </a:extLst>
        </xdr:cNvPr>
        <xdr:cNvSpPr/>
      </xdr:nvSpPr>
      <xdr:spPr>
        <a:xfrm rot="10800000">
          <a:off x="11544300" y="1339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733</xdr:row>
      <xdr:rowOff>0</xdr:rowOff>
    </xdr:from>
    <xdr:to>
      <xdr:col>64</xdr:col>
      <xdr:colOff>83820</xdr:colOff>
      <xdr:row>733</xdr:row>
      <xdr:rowOff>114300</xdr:rowOff>
    </xdr:to>
    <xdr:sp macro="" textlink="">
      <xdr:nvSpPr>
        <xdr:cNvPr id="5582" name="Arrow: Down 5581">
          <a:extLst>
            <a:ext uri="{FF2B5EF4-FFF2-40B4-BE49-F238E27FC236}">
              <a16:creationId xmlns:a16="http://schemas.microsoft.com/office/drawing/2014/main" id="{D923CA0B-A8A3-4E0A-A130-AF03D25CDA4C}"/>
            </a:ext>
          </a:extLst>
        </xdr:cNvPr>
        <xdr:cNvSpPr/>
      </xdr:nvSpPr>
      <xdr:spPr>
        <a:xfrm rot="10800000">
          <a:off x="19347180" y="133967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733</xdr:row>
      <xdr:rowOff>0</xdr:rowOff>
    </xdr:from>
    <xdr:to>
      <xdr:col>45</xdr:col>
      <xdr:colOff>83820</xdr:colOff>
      <xdr:row>733</xdr:row>
      <xdr:rowOff>114300</xdr:rowOff>
    </xdr:to>
    <xdr:sp macro="" textlink="">
      <xdr:nvSpPr>
        <xdr:cNvPr id="5583" name="Arrow: Down 5582">
          <a:extLst>
            <a:ext uri="{FF2B5EF4-FFF2-40B4-BE49-F238E27FC236}">
              <a16:creationId xmlns:a16="http://schemas.microsoft.com/office/drawing/2014/main" id="{01361005-CEBE-4234-B805-DCEEA2579DD1}"/>
            </a:ext>
          </a:extLst>
        </xdr:cNvPr>
        <xdr:cNvSpPr/>
      </xdr:nvSpPr>
      <xdr:spPr>
        <a:xfrm rot="10800000">
          <a:off x="13403580" y="133967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733</xdr:row>
      <xdr:rowOff>0</xdr:rowOff>
    </xdr:from>
    <xdr:to>
      <xdr:col>71</xdr:col>
      <xdr:colOff>83820</xdr:colOff>
      <xdr:row>733</xdr:row>
      <xdr:rowOff>114300</xdr:rowOff>
    </xdr:to>
    <xdr:sp macro="" textlink="">
      <xdr:nvSpPr>
        <xdr:cNvPr id="5584" name="Arrow: Down 5583">
          <a:extLst>
            <a:ext uri="{FF2B5EF4-FFF2-40B4-BE49-F238E27FC236}">
              <a16:creationId xmlns:a16="http://schemas.microsoft.com/office/drawing/2014/main" id="{B584145A-C28D-4636-B841-45C922084B1D}"/>
            </a:ext>
          </a:extLst>
        </xdr:cNvPr>
        <xdr:cNvSpPr/>
      </xdr:nvSpPr>
      <xdr:spPr>
        <a:xfrm>
          <a:off x="2196084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733</xdr:row>
      <xdr:rowOff>0</xdr:rowOff>
    </xdr:from>
    <xdr:to>
      <xdr:col>60</xdr:col>
      <xdr:colOff>83820</xdr:colOff>
      <xdr:row>733</xdr:row>
      <xdr:rowOff>114300</xdr:rowOff>
    </xdr:to>
    <xdr:sp macro="" textlink="">
      <xdr:nvSpPr>
        <xdr:cNvPr id="5588" name="Arrow: Down 5587">
          <a:extLst>
            <a:ext uri="{FF2B5EF4-FFF2-40B4-BE49-F238E27FC236}">
              <a16:creationId xmlns:a16="http://schemas.microsoft.com/office/drawing/2014/main" id="{7A30D585-57DC-4D23-A30C-2D19202BEB33}"/>
            </a:ext>
          </a:extLst>
        </xdr:cNvPr>
        <xdr:cNvSpPr/>
      </xdr:nvSpPr>
      <xdr:spPr>
        <a:xfrm>
          <a:off x="1908048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733</xdr:row>
      <xdr:rowOff>0</xdr:rowOff>
    </xdr:from>
    <xdr:to>
      <xdr:col>24</xdr:col>
      <xdr:colOff>83820</xdr:colOff>
      <xdr:row>733</xdr:row>
      <xdr:rowOff>114300</xdr:rowOff>
    </xdr:to>
    <xdr:sp macro="" textlink="">
      <xdr:nvSpPr>
        <xdr:cNvPr id="5591" name="Arrow: Down 5590">
          <a:extLst>
            <a:ext uri="{FF2B5EF4-FFF2-40B4-BE49-F238E27FC236}">
              <a16:creationId xmlns:a16="http://schemas.microsoft.com/office/drawing/2014/main" id="{C37D1FF0-4938-4C2E-BEFA-AB626696E033}"/>
            </a:ext>
          </a:extLst>
        </xdr:cNvPr>
        <xdr:cNvSpPr/>
      </xdr:nvSpPr>
      <xdr:spPr>
        <a:xfrm rot="10800000">
          <a:off x="833628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733</xdr:row>
      <xdr:rowOff>0</xdr:rowOff>
    </xdr:from>
    <xdr:to>
      <xdr:col>39</xdr:col>
      <xdr:colOff>83820</xdr:colOff>
      <xdr:row>733</xdr:row>
      <xdr:rowOff>114300</xdr:rowOff>
    </xdr:to>
    <xdr:sp macro="" textlink="">
      <xdr:nvSpPr>
        <xdr:cNvPr id="5593" name="Arrow: Down 5592">
          <a:extLst>
            <a:ext uri="{FF2B5EF4-FFF2-40B4-BE49-F238E27FC236}">
              <a16:creationId xmlns:a16="http://schemas.microsoft.com/office/drawing/2014/main" id="{B68CB494-87E3-4AA2-9A6B-CC96E5A654F9}"/>
            </a:ext>
          </a:extLst>
        </xdr:cNvPr>
        <xdr:cNvSpPr/>
      </xdr:nvSpPr>
      <xdr:spPr>
        <a:xfrm rot="10800000">
          <a:off x="11544300" y="1341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734</xdr:row>
      <xdr:rowOff>0</xdr:rowOff>
    </xdr:from>
    <xdr:to>
      <xdr:col>64</xdr:col>
      <xdr:colOff>83820</xdr:colOff>
      <xdr:row>734</xdr:row>
      <xdr:rowOff>114300</xdr:rowOff>
    </xdr:to>
    <xdr:sp macro="" textlink="">
      <xdr:nvSpPr>
        <xdr:cNvPr id="5234" name="Arrow: Down 5233">
          <a:extLst>
            <a:ext uri="{FF2B5EF4-FFF2-40B4-BE49-F238E27FC236}">
              <a16:creationId xmlns:a16="http://schemas.microsoft.com/office/drawing/2014/main" id="{689FF027-5BEB-4376-9500-63A399F2ADCE}"/>
            </a:ext>
          </a:extLst>
        </xdr:cNvPr>
        <xdr:cNvSpPr/>
      </xdr:nvSpPr>
      <xdr:spPr>
        <a:xfrm rot="10800000">
          <a:off x="19347180" y="134150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734</xdr:row>
      <xdr:rowOff>0</xdr:rowOff>
    </xdr:from>
    <xdr:to>
      <xdr:col>45</xdr:col>
      <xdr:colOff>83820</xdr:colOff>
      <xdr:row>734</xdr:row>
      <xdr:rowOff>114300</xdr:rowOff>
    </xdr:to>
    <xdr:sp macro="" textlink="">
      <xdr:nvSpPr>
        <xdr:cNvPr id="5275" name="Arrow: Down 5274">
          <a:extLst>
            <a:ext uri="{FF2B5EF4-FFF2-40B4-BE49-F238E27FC236}">
              <a16:creationId xmlns:a16="http://schemas.microsoft.com/office/drawing/2014/main" id="{D323F68F-B35E-4C73-8873-F2DE15F7BF19}"/>
            </a:ext>
          </a:extLst>
        </xdr:cNvPr>
        <xdr:cNvSpPr/>
      </xdr:nvSpPr>
      <xdr:spPr>
        <a:xfrm rot="10800000">
          <a:off x="13403580" y="1341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734</xdr:row>
      <xdr:rowOff>0</xdr:rowOff>
    </xdr:from>
    <xdr:to>
      <xdr:col>71</xdr:col>
      <xdr:colOff>83820</xdr:colOff>
      <xdr:row>734</xdr:row>
      <xdr:rowOff>114300</xdr:rowOff>
    </xdr:to>
    <xdr:sp macro="" textlink="">
      <xdr:nvSpPr>
        <xdr:cNvPr id="5331" name="Arrow: Down 5330">
          <a:extLst>
            <a:ext uri="{FF2B5EF4-FFF2-40B4-BE49-F238E27FC236}">
              <a16:creationId xmlns:a16="http://schemas.microsoft.com/office/drawing/2014/main" id="{8EF6B6FB-D8FD-4A4F-B4AD-4D94E5D7C631}"/>
            </a:ext>
          </a:extLst>
        </xdr:cNvPr>
        <xdr:cNvSpPr/>
      </xdr:nvSpPr>
      <xdr:spPr>
        <a:xfrm>
          <a:off x="21960840" y="1341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734</xdr:row>
      <xdr:rowOff>0</xdr:rowOff>
    </xdr:from>
    <xdr:to>
      <xdr:col>24</xdr:col>
      <xdr:colOff>83820</xdr:colOff>
      <xdr:row>734</xdr:row>
      <xdr:rowOff>114300</xdr:rowOff>
    </xdr:to>
    <xdr:sp macro="" textlink="">
      <xdr:nvSpPr>
        <xdr:cNvPr id="5371" name="Arrow: Down 5370">
          <a:extLst>
            <a:ext uri="{FF2B5EF4-FFF2-40B4-BE49-F238E27FC236}">
              <a16:creationId xmlns:a16="http://schemas.microsoft.com/office/drawing/2014/main" id="{49C483DC-11E5-4DF4-BFD5-947D07B65A55}"/>
            </a:ext>
          </a:extLst>
        </xdr:cNvPr>
        <xdr:cNvSpPr/>
      </xdr:nvSpPr>
      <xdr:spPr>
        <a:xfrm rot="10800000">
          <a:off x="833628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733</xdr:row>
      <xdr:rowOff>0</xdr:rowOff>
    </xdr:from>
    <xdr:to>
      <xdr:col>5</xdr:col>
      <xdr:colOff>83820</xdr:colOff>
      <xdr:row>733</xdr:row>
      <xdr:rowOff>114300</xdr:rowOff>
    </xdr:to>
    <xdr:sp macro="" textlink="">
      <xdr:nvSpPr>
        <xdr:cNvPr id="5382" name="Arrow: Down 5381">
          <a:extLst>
            <a:ext uri="{FF2B5EF4-FFF2-40B4-BE49-F238E27FC236}">
              <a16:creationId xmlns:a16="http://schemas.microsoft.com/office/drawing/2014/main" id="{FCCD949A-DC73-42C2-AADE-5A951385E651}"/>
            </a:ext>
          </a:extLst>
        </xdr:cNvPr>
        <xdr:cNvSpPr/>
      </xdr:nvSpPr>
      <xdr:spPr>
        <a:xfrm rot="10800000">
          <a:off x="192786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733</xdr:row>
      <xdr:rowOff>0</xdr:rowOff>
    </xdr:from>
    <xdr:to>
      <xdr:col>11</xdr:col>
      <xdr:colOff>83820</xdr:colOff>
      <xdr:row>733</xdr:row>
      <xdr:rowOff>114300</xdr:rowOff>
    </xdr:to>
    <xdr:sp macro="" textlink="">
      <xdr:nvSpPr>
        <xdr:cNvPr id="5394" name="Arrow: Down 5393">
          <a:extLst>
            <a:ext uri="{FF2B5EF4-FFF2-40B4-BE49-F238E27FC236}">
              <a16:creationId xmlns:a16="http://schemas.microsoft.com/office/drawing/2014/main" id="{6EA73E40-4979-4712-AB55-7BC39936EBE1}"/>
            </a:ext>
          </a:extLst>
        </xdr:cNvPr>
        <xdr:cNvSpPr/>
      </xdr:nvSpPr>
      <xdr:spPr>
        <a:xfrm rot="10800000">
          <a:off x="369570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734</xdr:row>
      <xdr:rowOff>0</xdr:rowOff>
    </xdr:from>
    <xdr:to>
      <xdr:col>5</xdr:col>
      <xdr:colOff>83820</xdr:colOff>
      <xdr:row>734</xdr:row>
      <xdr:rowOff>114300</xdr:rowOff>
    </xdr:to>
    <xdr:sp macro="" textlink="">
      <xdr:nvSpPr>
        <xdr:cNvPr id="5413" name="Arrow: Down 5412">
          <a:extLst>
            <a:ext uri="{FF2B5EF4-FFF2-40B4-BE49-F238E27FC236}">
              <a16:creationId xmlns:a16="http://schemas.microsoft.com/office/drawing/2014/main" id="{884E5847-DAFE-443B-B015-BC010398CB38}"/>
            </a:ext>
          </a:extLst>
        </xdr:cNvPr>
        <xdr:cNvSpPr/>
      </xdr:nvSpPr>
      <xdr:spPr>
        <a:xfrm rot="10800000">
          <a:off x="192786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734</xdr:row>
      <xdr:rowOff>0</xdr:rowOff>
    </xdr:from>
    <xdr:to>
      <xdr:col>11</xdr:col>
      <xdr:colOff>83820</xdr:colOff>
      <xdr:row>734</xdr:row>
      <xdr:rowOff>114300</xdr:rowOff>
    </xdr:to>
    <xdr:sp macro="" textlink="">
      <xdr:nvSpPr>
        <xdr:cNvPr id="5455" name="Arrow: Down 5454">
          <a:extLst>
            <a:ext uri="{FF2B5EF4-FFF2-40B4-BE49-F238E27FC236}">
              <a16:creationId xmlns:a16="http://schemas.microsoft.com/office/drawing/2014/main" id="{B47A6507-6B93-488C-8300-C8DBBFA48AD6}"/>
            </a:ext>
          </a:extLst>
        </xdr:cNvPr>
        <xdr:cNvSpPr/>
      </xdr:nvSpPr>
      <xdr:spPr>
        <a:xfrm rot="10800000">
          <a:off x="36957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734</xdr:row>
      <xdr:rowOff>0</xdr:rowOff>
    </xdr:from>
    <xdr:to>
      <xdr:col>39</xdr:col>
      <xdr:colOff>83820</xdr:colOff>
      <xdr:row>734</xdr:row>
      <xdr:rowOff>114300</xdr:rowOff>
    </xdr:to>
    <xdr:sp macro="" textlink="">
      <xdr:nvSpPr>
        <xdr:cNvPr id="5475" name="Arrow: Down 5474">
          <a:extLst>
            <a:ext uri="{FF2B5EF4-FFF2-40B4-BE49-F238E27FC236}">
              <a16:creationId xmlns:a16="http://schemas.microsoft.com/office/drawing/2014/main" id="{19877B4F-B17B-409F-AB96-3DBC313D6244}"/>
            </a:ext>
          </a:extLst>
        </xdr:cNvPr>
        <xdr:cNvSpPr/>
      </xdr:nvSpPr>
      <xdr:spPr>
        <a:xfrm rot="10800000">
          <a:off x="115443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734</xdr:row>
      <xdr:rowOff>0</xdr:rowOff>
    </xdr:from>
    <xdr:to>
      <xdr:col>60</xdr:col>
      <xdr:colOff>83820</xdr:colOff>
      <xdr:row>734</xdr:row>
      <xdr:rowOff>114300</xdr:rowOff>
    </xdr:to>
    <xdr:sp macro="" textlink="">
      <xdr:nvSpPr>
        <xdr:cNvPr id="5480" name="Arrow: Down 5479">
          <a:extLst>
            <a:ext uri="{FF2B5EF4-FFF2-40B4-BE49-F238E27FC236}">
              <a16:creationId xmlns:a16="http://schemas.microsoft.com/office/drawing/2014/main" id="{76D2C906-3CD9-46C1-AB76-5117111D85AE}"/>
            </a:ext>
          </a:extLst>
        </xdr:cNvPr>
        <xdr:cNvSpPr/>
      </xdr:nvSpPr>
      <xdr:spPr>
        <a:xfrm rot="10800000">
          <a:off x="1908048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735</xdr:row>
      <xdr:rowOff>0</xdr:rowOff>
    </xdr:from>
    <xdr:to>
      <xdr:col>64</xdr:col>
      <xdr:colOff>83820</xdr:colOff>
      <xdr:row>735</xdr:row>
      <xdr:rowOff>114300</xdr:rowOff>
    </xdr:to>
    <xdr:sp macro="" textlink="">
      <xdr:nvSpPr>
        <xdr:cNvPr id="5510" name="Arrow: Down 5509">
          <a:extLst>
            <a:ext uri="{FF2B5EF4-FFF2-40B4-BE49-F238E27FC236}">
              <a16:creationId xmlns:a16="http://schemas.microsoft.com/office/drawing/2014/main" id="{F3D59C94-DF4A-4E3B-A11F-BCA7A3D75A0B}"/>
            </a:ext>
          </a:extLst>
        </xdr:cNvPr>
        <xdr:cNvSpPr/>
      </xdr:nvSpPr>
      <xdr:spPr>
        <a:xfrm rot="10800000">
          <a:off x="19347180" y="134332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735</xdr:row>
      <xdr:rowOff>0</xdr:rowOff>
    </xdr:from>
    <xdr:to>
      <xdr:col>45</xdr:col>
      <xdr:colOff>83820</xdr:colOff>
      <xdr:row>735</xdr:row>
      <xdr:rowOff>114300</xdr:rowOff>
    </xdr:to>
    <xdr:sp macro="" textlink="">
      <xdr:nvSpPr>
        <xdr:cNvPr id="5511" name="Arrow: Down 5510">
          <a:extLst>
            <a:ext uri="{FF2B5EF4-FFF2-40B4-BE49-F238E27FC236}">
              <a16:creationId xmlns:a16="http://schemas.microsoft.com/office/drawing/2014/main" id="{AC10710C-D056-4676-8845-8F1A266EEDDC}"/>
            </a:ext>
          </a:extLst>
        </xdr:cNvPr>
        <xdr:cNvSpPr/>
      </xdr:nvSpPr>
      <xdr:spPr>
        <a:xfrm rot="10800000">
          <a:off x="13403580" y="134332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735</xdr:row>
      <xdr:rowOff>0</xdr:rowOff>
    </xdr:from>
    <xdr:to>
      <xdr:col>71</xdr:col>
      <xdr:colOff>83820</xdr:colOff>
      <xdr:row>735</xdr:row>
      <xdr:rowOff>114300</xdr:rowOff>
    </xdr:to>
    <xdr:sp macro="" textlink="">
      <xdr:nvSpPr>
        <xdr:cNvPr id="5512" name="Arrow: Down 5511">
          <a:extLst>
            <a:ext uri="{FF2B5EF4-FFF2-40B4-BE49-F238E27FC236}">
              <a16:creationId xmlns:a16="http://schemas.microsoft.com/office/drawing/2014/main" id="{159FB969-AA5A-433F-A470-3C9A9CC8F356}"/>
            </a:ext>
          </a:extLst>
        </xdr:cNvPr>
        <xdr:cNvSpPr/>
      </xdr:nvSpPr>
      <xdr:spPr>
        <a:xfrm>
          <a:off x="21960840" y="13433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735</xdr:row>
      <xdr:rowOff>0</xdr:rowOff>
    </xdr:from>
    <xdr:to>
      <xdr:col>24</xdr:col>
      <xdr:colOff>83820</xdr:colOff>
      <xdr:row>735</xdr:row>
      <xdr:rowOff>114300</xdr:rowOff>
    </xdr:to>
    <xdr:sp macro="" textlink="">
      <xdr:nvSpPr>
        <xdr:cNvPr id="5518" name="Arrow: Down 5517">
          <a:extLst>
            <a:ext uri="{FF2B5EF4-FFF2-40B4-BE49-F238E27FC236}">
              <a16:creationId xmlns:a16="http://schemas.microsoft.com/office/drawing/2014/main" id="{6016CD70-A674-4139-9AD0-949EBBD98AC8}"/>
            </a:ext>
          </a:extLst>
        </xdr:cNvPr>
        <xdr:cNvSpPr/>
      </xdr:nvSpPr>
      <xdr:spPr>
        <a:xfrm rot="10800000">
          <a:off x="833628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735</xdr:row>
      <xdr:rowOff>0</xdr:rowOff>
    </xdr:from>
    <xdr:to>
      <xdr:col>5</xdr:col>
      <xdr:colOff>83820</xdr:colOff>
      <xdr:row>735</xdr:row>
      <xdr:rowOff>114300</xdr:rowOff>
    </xdr:to>
    <xdr:sp macro="" textlink="">
      <xdr:nvSpPr>
        <xdr:cNvPr id="5519" name="Arrow: Down 5518">
          <a:extLst>
            <a:ext uri="{FF2B5EF4-FFF2-40B4-BE49-F238E27FC236}">
              <a16:creationId xmlns:a16="http://schemas.microsoft.com/office/drawing/2014/main" id="{991B80D6-8609-4C5F-9E78-45631BFA7BF6}"/>
            </a:ext>
          </a:extLst>
        </xdr:cNvPr>
        <xdr:cNvSpPr/>
      </xdr:nvSpPr>
      <xdr:spPr>
        <a:xfrm rot="10800000">
          <a:off x="192786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735</xdr:row>
      <xdr:rowOff>0</xdr:rowOff>
    </xdr:from>
    <xdr:to>
      <xdr:col>11</xdr:col>
      <xdr:colOff>83820</xdr:colOff>
      <xdr:row>735</xdr:row>
      <xdr:rowOff>114300</xdr:rowOff>
    </xdr:to>
    <xdr:sp macro="" textlink="">
      <xdr:nvSpPr>
        <xdr:cNvPr id="5520" name="Arrow: Down 5519">
          <a:extLst>
            <a:ext uri="{FF2B5EF4-FFF2-40B4-BE49-F238E27FC236}">
              <a16:creationId xmlns:a16="http://schemas.microsoft.com/office/drawing/2014/main" id="{A03A8E2C-7D16-4C67-9623-755EC8780EE4}"/>
            </a:ext>
          </a:extLst>
        </xdr:cNvPr>
        <xdr:cNvSpPr/>
      </xdr:nvSpPr>
      <xdr:spPr>
        <a:xfrm rot="10800000">
          <a:off x="36957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735</xdr:row>
      <xdr:rowOff>0</xdr:rowOff>
    </xdr:from>
    <xdr:to>
      <xdr:col>60</xdr:col>
      <xdr:colOff>83820</xdr:colOff>
      <xdr:row>735</xdr:row>
      <xdr:rowOff>114300</xdr:rowOff>
    </xdr:to>
    <xdr:sp macro="" textlink="">
      <xdr:nvSpPr>
        <xdr:cNvPr id="5532" name="Arrow: Down 5531">
          <a:extLst>
            <a:ext uri="{FF2B5EF4-FFF2-40B4-BE49-F238E27FC236}">
              <a16:creationId xmlns:a16="http://schemas.microsoft.com/office/drawing/2014/main" id="{59C1F02B-1D60-48A3-80C7-4C86297E020D}"/>
            </a:ext>
          </a:extLst>
        </xdr:cNvPr>
        <xdr:cNvSpPr/>
      </xdr:nvSpPr>
      <xdr:spPr>
        <a:xfrm>
          <a:off x="19080480" y="1345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735</xdr:row>
      <xdr:rowOff>0</xdr:rowOff>
    </xdr:from>
    <xdr:to>
      <xdr:col>39</xdr:col>
      <xdr:colOff>83820</xdr:colOff>
      <xdr:row>735</xdr:row>
      <xdr:rowOff>114300</xdr:rowOff>
    </xdr:to>
    <xdr:sp macro="" textlink="">
      <xdr:nvSpPr>
        <xdr:cNvPr id="5534" name="Arrow: Down 5533">
          <a:extLst>
            <a:ext uri="{FF2B5EF4-FFF2-40B4-BE49-F238E27FC236}">
              <a16:creationId xmlns:a16="http://schemas.microsoft.com/office/drawing/2014/main" id="{FAAC069F-C58B-4A3F-8A43-E3A242215E96}"/>
            </a:ext>
          </a:extLst>
        </xdr:cNvPr>
        <xdr:cNvSpPr/>
      </xdr:nvSpPr>
      <xdr:spPr>
        <a:xfrm rot="10800000">
          <a:off x="1154430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736</xdr:row>
      <xdr:rowOff>0</xdr:rowOff>
    </xdr:from>
    <xdr:to>
      <xdr:col>64</xdr:col>
      <xdr:colOff>83820</xdr:colOff>
      <xdr:row>736</xdr:row>
      <xdr:rowOff>114300</xdr:rowOff>
    </xdr:to>
    <xdr:sp macro="" textlink="">
      <xdr:nvSpPr>
        <xdr:cNvPr id="5549" name="Arrow: Down 5548">
          <a:extLst>
            <a:ext uri="{FF2B5EF4-FFF2-40B4-BE49-F238E27FC236}">
              <a16:creationId xmlns:a16="http://schemas.microsoft.com/office/drawing/2014/main" id="{700F0AE7-3568-4E92-B674-29E496F08189}"/>
            </a:ext>
          </a:extLst>
        </xdr:cNvPr>
        <xdr:cNvSpPr/>
      </xdr:nvSpPr>
      <xdr:spPr>
        <a:xfrm rot="10800000">
          <a:off x="19347180" y="134515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736</xdr:row>
      <xdr:rowOff>0</xdr:rowOff>
    </xdr:from>
    <xdr:to>
      <xdr:col>45</xdr:col>
      <xdr:colOff>83820</xdr:colOff>
      <xdr:row>736</xdr:row>
      <xdr:rowOff>114300</xdr:rowOff>
    </xdr:to>
    <xdr:sp macro="" textlink="">
      <xdr:nvSpPr>
        <xdr:cNvPr id="5565" name="Arrow: Down 5564">
          <a:extLst>
            <a:ext uri="{FF2B5EF4-FFF2-40B4-BE49-F238E27FC236}">
              <a16:creationId xmlns:a16="http://schemas.microsoft.com/office/drawing/2014/main" id="{0830E453-7203-47C4-8807-B3C4A6650397}"/>
            </a:ext>
          </a:extLst>
        </xdr:cNvPr>
        <xdr:cNvSpPr/>
      </xdr:nvSpPr>
      <xdr:spPr>
        <a:xfrm rot="10800000">
          <a:off x="1340358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736</xdr:row>
      <xdr:rowOff>0</xdr:rowOff>
    </xdr:from>
    <xdr:to>
      <xdr:col>71</xdr:col>
      <xdr:colOff>83820</xdr:colOff>
      <xdr:row>736</xdr:row>
      <xdr:rowOff>114300</xdr:rowOff>
    </xdr:to>
    <xdr:sp macro="" textlink="">
      <xdr:nvSpPr>
        <xdr:cNvPr id="5567" name="Arrow: Down 5566">
          <a:extLst>
            <a:ext uri="{FF2B5EF4-FFF2-40B4-BE49-F238E27FC236}">
              <a16:creationId xmlns:a16="http://schemas.microsoft.com/office/drawing/2014/main" id="{3C78535F-78DF-4ACB-ADF9-758876B8325E}"/>
            </a:ext>
          </a:extLst>
        </xdr:cNvPr>
        <xdr:cNvSpPr/>
      </xdr:nvSpPr>
      <xdr:spPr>
        <a:xfrm>
          <a:off x="21960840" y="1345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736</xdr:row>
      <xdr:rowOff>0</xdr:rowOff>
    </xdr:from>
    <xdr:to>
      <xdr:col>5</xdr:col>
      <xdr:colOff>83820</xdr:colOff>
      <xdr:row>736</xdr:row>
      <xdr:rowOff>114300</xdr:rowOff>
    </xdr:to>
    <xdr:sp macro="" textlink="">
      <xdr:nvSpPr>
        <xdr:cNvPr id="5572" name="Arrow: Down 5571">
          <a:extLst>
            <a:ext uri="{FF2B5EF4-FFF2-40B4-BE49-F238E27FC236}">
              <a16:creationId xmlns:a16="http://schemas.microsoft.com/office/drawing/2014/main" id="{472D55BF-EAA1-44D1-9E98-1D61E8D94A72}"/>
            </a:ext>
          </a:extLst>
        </xdr:cNvPr>
        <xdr:cNvSpPr/>
      </xdr:nvSpPr>
      <xdr:spPr>
        <a:xfrm rot="10800000">
          <a:off x="1927860" y="1345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736</xdr:row>
      <xdr:rowOff>0</xdr:rowOff>
    </xdr:from>
    <xdr:to>
      <xdr:col>11</xdr:col>
      <xdr:colOff>83820</xdr:colOff>
      <xdr:row>736</xdr:row>
      <xdr:rowOff>114300</xdr:rowOff>
    </xdr:to>
    <xdr:sp macro="" textlink="">
      <xdr:nvSpPr>
        <xdr:cNvPr id="5574" name="Arrow: Down 5573">
          <a:extLst>
            <a:ext uri="{FF2B5EF4-FFF2-40B4-BE49-F238E27FC236}">
              <a16:creationId xmlns:a16="http://schemas.microsoft.com/office/drawing/2014/main" id="{8692479D-6063-4BAE-924E-E81EA866405C}"/>
            </a:ext>
          </a:extLst>
        </xdr:cNvPr>
        <xdr:cNvSpPr/>
      </xdr:nvSpPr>
      <xdr:spPr>
        <a:xfrm rot="10800000">
          <a:off x="3695700" y="1345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736</xdr:row>
      <xdr:rowOff>0</xdr:rowOff>
    </xdr:from>
    <xdr:to>
      <xdr:col>39</xdr:col>
      <xdr:colOff>83820</xdr:colOff>
      <xdr:row>736</xdr:row>
      <xdr:rowOff>114300</xdr:rowOff>
    </xdr:to>
    <xdr:sp macro="" textlink="">
      <xdr:nvSpPr>
        <xdr:cNvPr id="5576" name="Arrow: Down 5575">
          <a:extLst>
            <a:ext uri="{FF2B5EF4-FFF2-40B4-BE49-F238E27FC236}">
              <a16:creationId xmlns:a16="http://schemas.microsoft.com/office/drawing/2014/main" id="{18573266-7A7D-472D-9E36-B96C5234D377}"/>
            </a:ext>
          </a:extLst>
        </xdr:cNvPr>
        <xdr:cNvSpPr/>
      </xdr:nvSpPr>
      <xdr:spPr>
        <a:xfrm rot="10800000">
          <a:off x="1154430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736</xdr:row>
      <xdr:rowOff>0</xdr:rowOff>
    </xdr:from>
    <xdr:to>
      <xdr:col>60</xdr:col>
      <xdr:colOff>83820</xdr:colOff>
      <xdr:row>736</xdr:row>
      <xdr:rowOff>114300</xdr:rowOff>
    </xdr:to>
    <xdr:sp macro="" textlink="">
      <xdr:nvSpPr>
        <xdr:cNvPr id="5578" name="Arrow: Down 5577">
          <a:extLst>
            <a:ext uri="{FF2B5EF4-FFF2-40B4-BE49-F238E27FC236}">
              <a16:creationId xmlns:a16="http://schemas.microsoft.com/office/drawing/2014/main" id="{7BBEBE66-9363-4F8C-BED9-377D0A197DAE}"/>
            </a:ext>
          </a:extLst>
        </xdr:cNvPr>
        <xdr:cNvSpPr/>
      </xdr:nvSpPr>
      <xdr:spPr>
        <a:xfrm rot="10800000">
          <a:off x="19080480" y="1346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736</xdr:row>
      <xdr:rowOff>0</xdr:rowOff>
    </xdr:from>
    <xdr:to>
      <xdr:col>24</xdr:col>
      <xdr:colOff>83820</xdr:colOff>
      <xdr:row>736</xdr:row>
      <xdr:rowOff>114300</xdr:rowOff>
    </xdr:to>
    <xdr:sp macro="" textlink="">
      <xdr:nvSpPr>
        <xdr:cNvPr id="5580" name="Arrow: Down 5579">
          <a:extLst>
            <a:ext uri="{FF2B5EF4-FFF2-40B4-BE49-F238E27FC236}">
              <a16:creationId xmlns:a16="http://schemas.microsoft.com/office/drawing/2014/main" id="{AAFDAACF-1C29-48D7-B776-7A2A96529F97}"/>
            </a:ext>
          </a:extLst>
        </xdr:cNvPr>
        <xdr:cNvSpPr/>
      </xdr:nvSpPr>
      <xdr:spPr>
        <a:xfrm>
          <a:off x="833628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737</xdr:row>
      <xdr:rowOff>0</xdr:rowOff>
    </xdr:from>
    <xdr:to>
      <xdr:col>64</xdr:col>
      <xdr:colOff>83820</xdr:colOff>
      <xdr:row>737</xdr:row>
      <xdr:rowOff>114300</xdr:rowOff>
    </xdr:to>
    <xdr:sp macro="" textlink="">
      <xdr:nvSpPr>
        <xdr:cNvPr id="5597" name="Arrow: Down 5596">
          <a:extLst>
            <a:ext uri="{FF2B5EF4-FFF2-40B4-BE49-F238E27FC236}">
              <a16:creationId xmlns:a16="http://schemas.microsoft.com/office/drawing/2014/main" id="{3783F1E9-021E-4413-A147-C31CB1FE244F}"/>
            </a:ext>
          </a:extLst>
        </xdr:cNvPr>
        <xdr:cNvSpPr/>
      </xdr:nvSpPr>
      <xdr:spPr>
        <a:xfrm rot="10800000">
          <a:off x="19347180" y="134698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737</xdr:row>
      <xdr:rowOff>0</xdr:rowOff>
    </xdr:from>
    <xdr:to>
      <xdr:col>45</xdr:col>
      <xdr:colOff>83820</xdr:colOff>
      <xdr:row>737</xdr:row>
      <xdr:rowOff>114300</xdr:rowOff>
    </xdr:to>
    <xdr:sp macro="" textlink="">
      <xdr:nvSpPr>
        <xdr:cNvPr id="5598" name="Arrow: Down 5597">
          <a:extLst>
            <a:ext uri="{FF2B5EF4-FFF2-40B4-BE49-F238E27FC236}">
              <a16:creationId xmlns:a16="http://schemas.microsoft.com/office/drawing/2014/main" id="{F3C830C1-FFA0-4733-BDAC-1899911F67EC}"/>
            </a:ext>
          </a:extLst>
        </xdr:cNvPr>
        <xdr:cNvSpPr/>
      </xdr:nvSpPr>
      <xdr:spPr>
        <a:xfrm rot="10800000">
          <a:off x="13403580" y="134698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737</xdr:row>
      <xdr:rowOff>0</xdr:rowOff>
    </xdr:from>
    <xdr:to>
      <xdr:col>71</xdr:col>
      <xdr:colOff>83820</xdr:colOff>
      <xdr:row>737</xdr:row>
      <xdr:rowOff>114300</xdr:rowOff>
    </xdr:to>
    <xdr:sp macro="" textlink="">
      <xdr:nvSpPr>
        <xdr:cNvPr id="5599" name="Arrow: Down 5598">
          <a:extLst>
            <a:ext uri="{FF2B5EF4-FFF2-40B4-BE49-F238E27FC236}">
              <a16:creationId xmlns:a16="http://schemas.microsoft.com/office/drawing/2014/main" id="{70544FD6-ECE1-45EB-BB3F-A619295E9607}"/>
            </a:ext>
          </a:extLst>
        </xdr:cNvPr>
        <xdr:cNvSpPr/>
      </xdr:nvSpPr>
      <xdr:spPr>
        <a:xfrm>
          <a:off x="2196084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737</xdr:row>
      <xdr:rowOff>0</xdr:rowOff>
    </xdr:from>
    <xdr:to>
      <xdr:col>24</xdr:col>
      <xdr:colOff>83820</xdr:colOff>
      <xdr:row>737</xdr:row>
      <xdr:rowOff>114300</xdr:rowOff>
    </xdr:to>
    <xdr:sp macro="" textlink="">
      <xdr:nvSpPr>
        <xdr:cNvPr id="5604" name="Arrow: Down 5603">
          <a:extLst>
            <a:ext uri="{FF2B5EF4-FFF2-40B4-BE49-F238E27FC236}">
              <a16:creationId xmlns:a16="http://schemas.microsoft.com/office/drawing/2014/main" id="{CDA2A54F-38A3-4006-AEC4-8CAB17ED2A5C}"/>
            </a:ext>
          </a:extLst>
        </xdr:cNvPr>
        <xdr:cNvSpPr/>
      </xdr:nvSpPr>
      <xdr:spPr>
        <a:xfrm>
          <a:off x="833628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737</xdr:row>
      <xdr:rowOff>0</xdr:rowOff>
    </xdr:from>
    <xdr:to>
      <xdr:col>60</xdr:col>
      <xdr:colOff>83820</xdr:colOff>
      <xdr:row>737</xdr:row>
      <xdr:rowOff>114300</xdr:rowOff>
    </xdr:to>
    <xdr:sp macro="" textlink="">
      <xdr:nvSpPr>
        <xdr:cNvPr id="5606" name="Arrow: Down 5605">
          <a:extLst>
            <a:ext uri="{FF2B5EF4-FFF2-40B4-BE49-F238E27FC236}">
              <a16:creationId xmlns:a16="http://schemas.microsoft.com/office/drawing/2014/main" id="{840CC653-EECF-4390-9991-26BB630A02F6}"/>
            </a:ext>
          </a:extLst>
        </xdr:cNvPr>
        <xdr:cNvSpPr/>
      </xdr:nvSpPr>
      <xdr:spPr>
        <a:xfrm>
          <a:off x="1908048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737</xdr:row>
      <xdr:rowOff>0</xdr:rowOff>
    </xdr:from>
    <xdr:to>
      <xdr:col>39</xdr:col>
      <xdr:colOff>83820</xdr:colOff>
      <xdr:row>737</xdr:row>
      <xdr:rowOff>114300</xdr:rowOff>
    </xdr:to>
    <xdr:sp macro="" textlink="">
      <xdr:nvSpPr>
        <xdr:cNvPr id="5608" name="Arrow: Down 5607">
          <a:extLst>
            <a:ext uri="{FF2B5EF4-FFF2-40B4-BE49-F238E27FC236}">
              <a16:creationId xmlns:a16="http://schemas.microsoft.com/office/drawing/2014/main" id="{EA43AB54-784B-4515-895D-88DDE27BA0B5}"/>
            </a:ext>
          </a:extLst>
        </xdr:cNvPr>
        <xdr:cNvSpPr/>
      </xdr:nvSpPr>
      <xdr:spPr>
        <a:xfrm rot="10800000">
          <a:off x="11544300" y="1348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737</xdr:row>
      <xdr:rowOff>0</xdr:rowOff>
    </xdr:from>
    <xdr:to>
      <xdr:col>5</xdr:col>
      <xdr:colOff>83820</xdr:colOff>
      <xdr:row>737</xdr:row>
      <xdr:rowOff>114300</xdr:rowOff>
    </xdr:to>
    <xdr:sp macro="" textlink="">
      <xdr:nvSpPr>
        <xdr:cNvPr id="5610" name="Arrow: Down 5609">
          <a:extLst>
            <a:ext uri="{FF2B5EF4-FFF2-40B4-BE49-F238E27FC236}">
              <a16:creationId xmlns:a16="http://schemas.microsoft.com/office/drawing/2014/main" id="{54B66182-06A1-4BC1-A889-8AE3B4DE61BC}"/>
            </a:ext>
          </a:extLst>
        </xdr:cNvPr>
        <xdr:cNvSpPr/>
      </xdr:nvSpPr>
      <xdr:spPr>
        <a:xfrm>
          <a:off x="192786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737</xdr:row>
      <xdr:rowOff>0</xdr:rowOff>
    </xdr:from>
    <xdr:to>
      <xdr:col>11</xdr:col>
      <xdr:colOff>83820</xdr:colOff>
      <xdr:row>737</xdr:row>
      <xdr:rowOff>114300</xdr:rowOff>
    </xdr:to>
    <xdr:sp macro="" textlink="">
      <xdr:nvSpPr>
        <xdr:cNvPr id="5612" name="Arrow: Down 5611">
          <a:extLst>
            <a:ext uri="{FF2B5EF4-FFF2-40B4-BE49-F238E27FC236}">
              <a16:creationId xmlns:a16="http://schemas.microsoft.com/office/drawing/2014/main" id="{B2457671-F375-4872-903D-0A31A236E805}"/>
            </a:ext>
          </a:extLst>
        </xdr:cNvPr>
        <xdr:cNvSpPr/>
      </xdr:nvSpPr>
      <xdr:spPr>
        <a:xfrm>
          <a:off x="369570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738</xdr:row>
      <xdr:rowOff>0</xdr:rowOff>
    </xdr:from>
    <xdr:to>
      <xdr:col>64</xdr:col>
      <xdr:colOff>83820</xdr:colOff>
      <xdr:row>738</xdr:row>
      <xdr:rowOff>114300</xdr:rowOff>
    </xdr:to>
    <xdr:sp macro="" textlink="">
      <xdr:nvSpPr>
        <xdr:cNvPr id="5613" name="Arrow: Down 5612">
          <a:extLst>
            <a:ext uri="{FF2B5EF4-FFF2-40B4-BE49-F238E27FC236}">
              <a16:creationId xmlns:a16="http://schemas.microsoft.com/office/drawing/2014/main" id="{B425D4FD-541F-4644-BAE0-24971ECFDB80}"/>
            </a:ext>
          </a:extLst>
        </xdr:cNvPr>
        <xdr:cNvSpPr/>
      </xdr:nvSpPr>
      <xdr:spPr>
        <a:xfrm rot="10800000">
          <a:off x="19347180" y="134881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738</xdr:row>
      <xdr:rowOff>0</xdr:rowOff>
    </xdr:from>
    <xdr:to>
      <xdr:col>45</xdr:col>
      <xdr:colOff>83820</xdr:colOff>
      <xdr:row>738</xdr:row>
      <xdr:rowOff>114300</xdr:rowOff>
    </xdr:to>
    <xdr:sp macro="" textlink="">
      <xdr:nvSpPr>
        <xdr:cNvPr id="5614" name="Arrow: Down 5613">
          <a:extLst>
            <a:ext uri="{FF2B5EF4-FFF2-40B4-BE49-F238E27FC236}">
              <a16:creationId xmlns:a16="http://schemas.microsoft.com/office/drawing/2014/main" id="{8A42336E-FA91-4ADB-B883-EFCC3072826A}"/>
            </a:ext>
          </a:extLst>
        </xdr:cNvPr>
        <xdr:cNvSpPr/>
      </xdr:nvSpPr>
      <xdr:spPr>
        <a:xfrm rot="10800000">
          <a:off x="13403580" y="1348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738</xdr:row>
      <xdr:rowOff>0</xdr:rowOff>
    </xdr:from>
    <xdr:to>
      <xdr:col>71</xdr:col>
      <xdr:colOff>83820</xdr:colOff>
      <xdr:row>738</xdr:row>
      <xdr:rowOff>114300</xdr:rowOff>
    </xdr:to>
    <xdr:sp macro="" textlink="">
      <xdr:nvSpPr>
        <xdr:cNvPr id="5615" name="Arrow: Down 5614">
          <a:extLst>
            <a:ext uri="{FF2B5EF4-FFF2-40B4-BE49-F238E27FC236}">
              <a16:creationId xmlns:a16="http://schemas.microsoft.com/office/drawing/2014/main" id="{5DB01923-16C8-49D5-8968-F63A751BD698}"/>
            </a:ext>
          </a:extLst>
        </xdr:cNvPr>
        <xdr:cNvSpPr/>
      </xdr:nvSpPr>
      <xdr:spPr>
        <a:xfrm>
          <a:off x="2196084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738</xdr:row>
      <xdr:rowOff>0</xdr:rowOff>
    </xdr:from>
    <xdr:to>
      <xdr:col>24</xdr:col>
      <xdr:colOff>83820</xdr:colOff>
      <xdr:row>738</xdr:row>
      <xdr:rowOff>114300</xdr:rowOff>
    </xdr:to>
    <xdr:sp macro="" textlink="">
      <xdr:nvSpPr>
        <xdr:cNvPr id="5616" name="Arrow: Down 5615">
          <a:extLst>
            <a:ext uri="{FF2B5EF4-FFF2-40B4-BE49-F238E27FC236}">
              <a16:creationId xmlns:a16="http://schemas.microsoft.com/office/drawing/2014/main" id="{8F7978F0-13FA-4B65-89FD-4643D847BA53}"/>
            </a:ext>
          </a:extLst>
        </xdr:cNvPr>
        <xdr:cNvSpPr/>
      </xdr:nvSpPr>
      <xdr:spPr>
        <a:xfrm>
          <a:off x="833628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738</xdr:row>
      <xdr:rowOff>0</xdr:rowOff>
    </xdr:from>
    <xdr:to>
      <xdr:col>39</xdr:col>
      <xdr:colOff>83820</xdr:colOff>
      <xdr:row>738</xdr:row>
      <xdr:rowOff>114300</xdr:rowOff>
    </xdr:to>
    <xdr:sp macro="" textlink="">
      <xdr:nvSpPr>
        <xdr:cNvPr id="5618" name="Arrow: Down 5617">
          <a:extLst>
            <a:ext uri="{FF2B5EF4-FFF2-40B4-BE49-F238E27FC236}">
              <a16:creationId xmlns:a16="http://schemas.microsoft.com/office/drawing/2014/main" id="{AB02AAB5-3154-4D80-98FE-26FFD6C7A3E5}"/>
            </a:ext>
          </a:extLst>
        </xdr:cNvPr>
        <xdr:cNvSpPr/>
      </xdr:nvSpPr>
      <xdr:spPr>
        <a:xfrm rot="10800000">
          <a:off x="11544300" y="1348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738</xdr:row>
      <xdr:rowOff>0</xdr:rowOff>
    </xdr:from>
    <xdr:to>
      <xdr:col>5</xdr:col>
      <xdr:colOff>83820</xdr:colOff>
      <xdr:row>738</xdr:row>
      <xdr:rowOff>114300</xdr:rowOff>
    </xdr:to>
    <xdr:sp macro="" textlink="">
      <xdr:nvSpPr>
        <xdr:cNvPr id="5619" name="Arrow: Down 5618">
          <a:extLst>
            <a:ext uri="{FF2B5EF4-FFF2-40B4-BE49-F238E27FC236}">
              <a16:creationId xmlns:a16="http://schemas.microsoft.com/office/drawing/2014/main" id="{9F65C826-22F6-4C46-8182-5E1A71B69A97}"/>
            </a:ext>
          </a:extLst>
        </xdr:cNvPr>
        <xdr:cNvSpPr/>
      </xdr:nvSpPr>
      <xdr:spPr>
        <a:xfrm>
          <a:off x="192786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738</xdr:row>
      <xdr:rowOff>0</xdr:rowOff>
    </xdr:from>
    <xdr:to>
      <xdr:col>11</xdr:col>
      <xdr:colOff>83820</xdr:colOff>
      <xdr:row>738</xdr:row>
      <xdr:rowOff>114300</xdr:rowOff>
    </xdr:to>
    <xdr:sp macro="" textlink="">
      <xdr:nvSpPr>
        <xdr:cNvPr id="5620" name="Arrow: Down 5619">
          <a:extLst>
            <a:ext uri="{FF2B5EF4-FFF2-40B4-BE49-F238E27FC236}">
              <a16:creationId xmlns:a16="http://schemas.microsoft.com/office/drawing/2014/main" id="{78FA293B-31CC-42D1-BAD1-93A338865B88}"/>
            </a:ext>
          </a:extLst>
        </xdr:cNvPr>
        <xdr:cNvSpPr/>
      </xdr:nvSpPr>
      <xdr:spPr>
        <a:xfrm>
          <a:off x="369570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738</xdr:row>
      <xdr:rowOff>0</xdr:rowOff>
    </xdr:from>
    <xdr:to>
      <xdr:col>60</xdr:col>
      <xdr:colOff>83820</xdr:colOff>
      <xdr:row>738</xdr:row>
      <xdr:rowOff>114300</xdr:rowOff>
    </xdr:to>
    <xdr:sp macro="" textlink="">
      <xdr:nvSpPr>
        <xdr:cNvPr id="5622" name="Arrow: Down 5621">
          <a:extLst>
            <a:ext uri="{FF2B5EF4-FFF2-40B4-BE49-F238E27FC236}">
              <a16:creationId xmlns:a16="http://schemas.microsoft.com/office/drawing/2014/main" id="{6CB38226-384D-4BB0-9957-F0BEA612242F}"/>
            </a:ext>
          </a:extLst>
        </xdr:cNvPr>
        <xdr:cNvSpPr/>
      </xdr:nvSpPr>
      <xdr:spPr>
        <a:xfrm rot="10800000">
          <a:off x="19080480" y="1350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739</xdr:row>
      <xdr:rowOff>0</xdr:rowOff>
    </xdr:from>
    <xdr:to>
      <xdr:col>64</xdr:col>
      <xdr:colOff>83820</xdr:colOff>
      <xdr:row>739</xdr:row>
      <xdr:rowOff>114300</xdr:rowOff>
    </xdr:to>
    <xdr:sp macro="" textlink="">
      <xdr:nvSpPr>
        <xdr:cNvPr id="5631" name="Arrow: Down 5630">
          <a:extLst>
            <a:ext uri="{FF2B5EF4-FFF2-40B4-BE49-F238E27FC236}">
              <a16:creationId xmlns:a16="http://schemas.microsoft.com/office/drawing/2014/main" id="{ED6E3443-51BD-4C2F-AC50-D6A1000F195F}"/>
            </a:ext>
          </a:extLst>
        </xdr:cNvPr>
        <xdr:cNvSpPr/>
      </xdr:nvSpPr>
      <xdr:spPr>
        <a:xfrm rot="10800000">
          <a:off x="19347180" y="135064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739</xdr:row>
      <xdr:rowOff>0</xdr:rowOff>
    </xdr:from>
    <xdr:to>
      <xdr:col>45</xdr:col>
      <xdr:colOff>83820</xdr:colOff>
      <xdr:row>739</xdr:row>
      <xdr:rowOff>114300</xdr:rowOff>
    </xdr:to>
    <xdr:sp macro="" textlink="">
      <xdr:nvSpPr>
        <xdr:cNvPr id="5632" name="Arrow: Down 5631">
          <a:extLst>
            <a:ext uri="{FF2B5EF4-FFF2-40B4-BE49-F238E27FC236}">
              <a16:creationId xmlns:a16="http://schemas.microsoft.com/office/drawing/2014/main" id="{BAF4CB20-F44F-48BD-84B5-BDA7E6D8813B}"/>
            </a:ext>
          </a:extLst>
        </xdr:cNvPr>
        <xdr:cNvSpPr/>
      </xdr:nvSpPr>
      <xdr:spPr>
        <a:xfrm rot="10800000">
          <a:off x="13403580" y="1350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739</xdr:row>
      <xdr:rowOff>0</xdr:rowOff>
    </xdr:from>
    <xdr:to>
      <xdr:col>71</xdr:col>
      <xdr:colOff>83820</xdr:colOff>
      <xdr:row>739</xdr:row>
      <xdr:rowOff>114300</xdr:rowOff>
    </xdr:to>
    <xdr:sp macro="" textlink="">
      <xdr:nvSpPr>
        <xdr:cNvPr id="5633" name="Arrow: Down 5632">
          <a:extLst>
            <a:ext uri="{FF2B5EF4-FFF2-40B4-BE49-F238E27FC236}">
              <a16:creationId xmlns:a16="http://schemas.microsoft.com/office/drawing/2014/main" id="{6412431B-A6BC-49A2-B763-3BD3D04A1BF4}"/>
            </a:ext>
          </a:extLst>
        </xdr:cNvPr>
        <xdr:cNvSpPr/>
      </xdr:nvSpPr>
      <xdr:spPr>
        <a:xfrm>
          <a:off x="2196084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739</xdr:row>
      <xdr:rowOff>0</xdr:rowOff>
    </xdr:from>
    <xdr:to>
      <xdr:col>24</xdr:col>
      <xdr:colOff>83820</xdr:colOff>
      <xdr:row>739</xdr:row>
      <xdr:rowOff>114300</xdr:rowOff>
    </xdr:to>
    <xdr:sp macro="" textlink="">
      <xdr:nvSpPr>
        <xdr:cNvPr id="5634" name="Arrow: Down 5633">
          <a:extLst>
            <a:ext uri="{FF2B5EF4-FFF2-40B4-BE49-F238E27FC236}">
              <a16:creationId xmlns:a16="http://schemas.microsoft.com/office/drawing/2014/main" id="{135FAD61-A574-4ED3-9E97-6D176DF87AA2}"/>
            </a:ext>
          </a:extLst>
        </xdr:cNvPr>
        <xdr:cNvSpPr/>
      </xdr:nvSpPr>
      <xdr:spPr>
        <a:xfrm>
          <a:off x="833628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739</xdr:row>
      <xdr:rowOff>0</xdr:rowOff>
    </xdr:from>
    <xdr:to>
      <xdr:col>5</xdr:col>
      <xdr:colOff>83820</xdr:colOff>
      <xdr:row>739</xdr:row>
      <xdr:rowOff>114300</xdr:rowOff>
    </xdr:to>
    <xdr:sp macro="" textlink="">
      <xdr:nvSpPr>
        <xdr:cNvPr id="5636" name="Arrow: Down 5635">
          <a:extLst>
            <a:ext uri="{FF2B5EF4-FFF2-40B4-BE49-F238E27FC236}">
              <a16:creationId xmlns:a16="http://schemas.microsoft.com/office/drawing/2014/main" id="{6B056C72-6080-495B-A8B8-557671EE68C1}"/>
            </a:ext>
          </a:extLst>
        </xdr:cNvPr>
        <xdr:cNvSpPr/>
      </xdr:nvSpPr>
      <xdr:spPr>
        <a:xfrm>
          <a:off x="192786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739</xdr:row>
      <xdr:rowOff>0</xdr:rowOff>
    </xdr:from>
    <xdr:to>
      <xdr:col>11</xdr:col>
      <xdr:colOff>83820</xdr:colOff>
      <xdr:row>739</xdr:row>
      <xdr:rowOff>114300</xdr:rowOff>
    </xdr:to>
    <xdr:sp macro="" textlink="">
      <xdr:nvSpPr>
        <xdr:cNvPr id="5637" name="Arrow: Down 5636">
          <a:extLst>
            <a:ext uri="{FF2B5EF4-FFF2-40B4-BE49-F238E27FC236}">
              <a16:creationId xmlns:a16="http://schemas.microsoft.com/office/drawing/2014/main" id="{8BB2CC40-A844-4F73-B77B-1311E1BEB7A0}"/>
            </a:ext>
          </a:extLst>
        </xdr:cNvPr>
        <xdr:cNvSpPr/>
      </xdr:nvSpPr>
      <xdr:spPr>
        <a:xfrm>
          <a:off x="369570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739</xdr:row>
      <xdr:rowOff>0</xdr:rowOff>
    </xdr:from>
    <xdr:to>
      <xdr:col>39</xdr:col>
      <xdr:colOff>83820</xdr:colOff>
      <xdr:row>739</xdr:row>
      <xdr:rowOff>114300</xdr:rowOff>
    </xdr:to>
    <xdr:sp macro="" textlink="">
      <xdr:nvSpPr>
        <xdr:cNvPr id="5640" name="Arrow: Down 5639">
          <a:extLst>
            <a:ext uri="{FF2B5EF4-FFF2-40B4-BE49-F238E27FC236}">
              <a16:creationId xmlns:a16="http://schemas.microsoft.com/office/drawing/2014/main" id="{476AE52C-3CD4-4596-8BA6-CDF745680288}"/>
            </a:ext>
          </a:extLst>
        </xdr:cNvPr>
        <xdr:cNvSpPr/>
      </xdr:nvSpPr>
      <xdr:spPr>
        <a:xfrm rot="10800000">
          <a:off x="11544300" y="1352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739</xdr:row>
      <xdr:rowOff>0</xdr:rowOff>
    </xdr:from>
    <xdr:to>
      <xdr:col>60</xdr:col>
      <xdr:colOff>83820</xdr:colOff>
      <xdr:row>739</xdr:row>
      <xdr:rowOff>114300</xdr:rowOff>
    </xdr:to>
    <xdr:sp macro="" textlink="">
      <xdr:nvSpPr>
        <xdr:cNvPr id="5642" name="Arrow: Down 5641">
          <a:extLst>
            <a:ext uri="{FF2B5EF4-FFF2-40B4-BE49-F238E27FC236}">
              <a16:creationId xmlns:a16="http://schemas.microsoft.com/office/drawing/2014/main" id="{2AF8F85B-5940-48EE-89C5-63183E21A5E2}"/>
            </a:ext>
          </a:extLst>
        </xdr:cNvPr>
        <xdr:cNvSpPr/>
      </xdr:nvSpPr>
      <xdr:spPr>
        <a:xfrm>
          <a:off x="1908048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740</xdr:row>
      <xdr:rowOff>0</xdr:rowOff>
    </xdr:from>
    <xdr:to>
      <xdr:col>64</xdr:col>
      <xdr:colOff>83820</xdr:colOff>
      <xdr:row>740</xdr:row>
      <xdr:rowOff>114300</xdr:rowOff>
    </xdr:to>
    <xdr:sp macro="" textlink="">
      <xdr:nvSpPr>
        <xdr:cNvPr id="5484" name="Arrow: Down 5483">
          <a:extLst>
            <a:ext uri="{FF2B5EF4-FFF2-40B4-BE49-F238E27FC236}">
              <a16:creationId xmlns:a16="http://schemas.microsoft.com/office/drawing/2014/main" id="{F9C85BB7-CEDC-4329-BC69-6F5D89B9635B}"/>
            </a:ext>
          </a:extLst>
        </xdr:cNvPr>
        <xdr:cNvSpPr/>
      </xdr:nvSpPr>
      <xdr:spPr>
        <a:xfrm rot="10800000">
          <a:off x="19347180" y="135247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740</xdr:row>
      <xdr:rowOff>0</xdr:rowOff>
    </xdr:from>
    <xdr:to>
      <xdr:col>45</xdr:col>
      <xdr:colOff>83820</xdr:colOff>
      <xdr:row>740</xdr:row>
      <xdr:rowOff>114300</xdr:rowOff>
    </xdr:to>
    <xdr:sp macro="" textlink="">
      <xdr:nvSpPr>
        <xdr:cNvPr id="5486" name="Arrow: Down 5485">
          <a:extLst>
            <a:ext uri="{FF2B5EF4-FFF2-40B4-BE49-F238E27FC236}">
              <a16:creationId xmlns:a16="http://schemas.microsoft.com/office/drawing/2014/main" id="{11071F68-7FD5-4D21-B213-48F25FD719A8}"/>
            </a:ext>
          </a:extLst>
        </xdr:cNvPr>
        <xdr:cNvSpPr/>
      </xdr:nvSpPr>
      <xdr:spPr>
        <a:xfrm rot="10800000">
          <a:off x="13403580" y="1352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740</xdr:row>
      <xdr:rowOff>0</xdr:rowOff>
    </xdr:from>
    <xdr:to>
      <xdr:col>71</xdr:col>
      <xdr:colOff>83820</xdr:colOff>
      <xdr:row>740</xdr:row>
      <xdr:rowOff>114300</xdr:rowOff>
    </xdr:to>
    <xdr:sp macro="" textlink="">
      <xdr:nvSpPr>
        <xdr:cNvPr id="5499" name="Arrow: Down 5498">
          <a:extLst>
            <a:ext uri="{FF2B5EF4-FFF2-40B4-BE49-F238E27FC236}">
              <a16:creationId xmlns:a16="http://schemas.microsoft.com/office/drawing/2014/main" id="{7C66E296-6C8B-4F28-8B94-A052E68FA01E}"/>
            </a:ext>
          </a:extLst>
        </xdr:cNvPr>
        <xdr:cNvSpPr/>
      </xdr:nvSpPr>
      <xdr:spPr>
        <a:xfrm>
          <a:off x="2196084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740</xdr:row>
      <xdr:rowOff>0</xdr:rowOff>
    </xdr:from>
    <xdr:to>
      <xdr:col>60</xdr:col>
      <xdr:colOff>83820</xdr:colOff>
      <xdr:row>740</xdr:row>
      <xdr:rowOff>114300</xdr:rowOff>
    </xdr:to>
    <xdr:sp macro="" textlink="">
      <xdr:nvSpPr>
        <xdr:cNvPr id="5509" name="Arrow: Down 5508">
          <a:extLst>
            <a:ext uri="{FF2B5EF4-FFF2-40B4-BE49-F238E27FC236}">
              <a16:creationId xmlns:a16="http://schemas.microsoft.com/office/drawing/2014/main" id="{39E57C4E-9564-4E0D-A00C-5D5C58CFE25B}"/>
            </a:ext>
          </a:extLst>
        </xdr:cNvPr>
        <xdr:cNvSpPr/>
      </xdr:nvSpPr>
      <xdr:spPr>
        <a:xfrm>
          <a:off x="1908048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740</xdr:row>
      <xdr:rowOff>0</xdr:rowOff>
    </xdr:from>
    <xdr:to>
      <xdr:col>5</xdr:col>
      <xdr:colOff>83820</xdr:colOff>
      <xdr:row>740</xdr:row>
      <xdr:rowOff>114300</xdr:rowOff>
    </xdr:to>
    <xdr:sp macro="" textlink="">
      <xdr:nvSpPr>
        <xdr:cNvPr id="5528" name="Arrow: Down 5527">
          <a:extLst>
            <a:ext uri="{FF2B5EF4-FFF2-40B4-BE49-F238E27FC236}">
              <a16:creationId xmlns:a16="http://schemas.microsoft.com/office/drawing/2014/main" id="{45DC28D7-5869-460A-BCAF-230DABF26653}"/>
            </a:ext>
          </a:extLst>
        </xdr:cNvPr>
        <xdr:cNvSpPr/>
      </xdr:nvSpPr>
      <xdr:spPr>
        <a:xfrm rot="10800000">
          <a:off x="192786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740</xdr:row>
      <xdr:rowOff>0</xdr:rowOff>
    </xdr:from>
    <xdr:to>
      <xdr:col>11</xdr:col>
      <xdr:colOff>83820</xdr:colOff>
      <xdr:row>740</xdr:row>
      <xdr:rowOff>114300</xdr:rowOff>
    </xdr:to>
    <xdr:sp macro="" textlink="">
      <xdr:nvSpPr>
        <xdr:cNvPr id="5531" name="Arrow: Down 5530">
          <a:extLst>
            <a:ext uri="{FF2B5EF4-FFF2-40B4-BE49-F238E27FC236}">
              <a16:creationId xmlns:a16="http://schemas.microsoft.com/office/drawing/2014/main" id="{5BA21413-37EC-4E66-BC72-39E7FEF36DD4}"/>
            </a:ext>
          </a:extLst>
        </xdr:cNvPr>
        <xdr:cNvSpPr/>
      </xdr:nvSpPr>
      <xdr:spPr>
        <a:xfrm rot="10800000">
          <a:off x="36957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740</xdr:row>
      <xdr:rowOff>0</xdr:rowOff>
    </xdr:from>
    <xdr:to>
      <xdr:col>24</xdr:col>
      <xdr:colOff>83820</xdr:colOff>
      <xdr:row>740</xdr:row>
      <xdr:rowOff>114300</xdr:rowOff>
    </xdr:to>
    <xdr:sp macro="" textlink="">
      <xdr:nvSpPr>
        <xdr:cNvPr id="5538" name="Arrow: Down 5537">
          <a:extLst>
            <a:ext uri="{FF2B5EF4-FFF2-40B4-BE49-F238E27FC236}">
              <a16:creationId xmlns:a16="http://schemas.microsoft.com/office/drawing/2014/main" id="{464B184D-E687-4505-8418-0550A0DB681A}"/>
            </a:ext>
          </a:extLst>
        </xdr:cNvPr>
        <xdr:cNvSpPr/>
      </xdr:nvSpPr>
      <xdr:spPr>
        <a:xfrm rot="10800000">
          <a:off x="833628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741</xdr:row>
      <xdr:rowOff>0</xdr:rowOff>
    </xdr:from>
    <xdr:to>
      <xdr:col>64</xdr:col>
      <xdr:colOff>83820</xdr:colOff>
      <xdr:row>741</xdr:row>
      <xdr:rowOff>114300</xdr:rowOff>
    </xdr:to>
    <xdr:sp macro="" textlink="">
      <xdr:nvSpPr>
        <xdr:cNvPr id="5581" name="Arrow: Down 5580">
          <a:extLst>
            <a:ext uri="{FF2B5EF4-FFF2-40B4-BE49-F238E27FC236}">
              <a16:creationId xmlns:a16="http://schemas.microsoft.com/office/drawing/2014/main" id="{6B93D047-F482-4E2D-ABBD-6EBB93C262F0}"/>
            </a:ext>
          </a:extLst>
        </xdr:cNvPr>
        <xdr:cNvSpPr/>
      </xdr:nvSpPr>
      <xdr:spPr>
        <a:xfrm rot="10800000">
          <a:off x="19347180" y="135430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741</xdr:row>
      <xdr:rowOff>0</xdr:rowOff>
    </xdr:from>
    <xdr:to>
      <xdr:col>45</xdr:col>
      <xdr:colOff>83820</xdr:colOff>
      <xdr:row>741</xdr:row>
      <xdr:rowOff>114300</xdr:rowOff>
    </xdr:to>
    <xdr:sp macro="" textlink="">
      <xdr:nvSpPr>
        <xdr:cNvPr id="5585" name="Arrow: Down 5584">
          <a:extLst>
            <a:ext uri="{FF2B5EF4-FFF2-40B4-BE49-F238E27FC236}">
              <a16:creationId xmlns:a16="http://schemas.microsoft.com/office/drawing/2014/main" id="{3963121E-431A-43F5-A58B-DBBAE3117DD3}"/>
            </a:ext>
          </a:extLst>
        </xdr:cNvPr>
        <xdr:cNvSpPr/>
      </xdr:nvSpPr>
      <xdr:spPr>
        <a:xfrm rot="10800000">
          <a:off x="13403580" y="1354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741</xdr:row>
      <xdr:rowOff>0</xdr:rowOff>
    </xdr:from>
    <xdr:to>
      <xdr:col>71</xdr:col>
      <xdr:colOff>83820</xdr:colOff>
      <xdr:row>741</xdr:row>
      <xdr:rowOff>114300</xdr:rowOff>
    </xdr:to>
    <xdr:sp macro="" textlink="">
      <xdr:nvSpPr>
        <xdr:cNvPr id="5586" name="Arrow: Down 5585">
          <a:extLst>
            <a:ext uri="{FF2B5EF4-FFF2-40B4-BE49-F238E27FC236}">
              <a16:creationId xmlns:a16="http://schemas.microsoft.com/office/drawing/2014/main" id="{F87F5087-0C2A-4960-8CA6-94534402747A}"/>
            </a:ext>
          </a:extLst>
        </xdr:cNvPr>
        <xdr:cNvSpPr/>
      </xdr:nvSpPr>
      <xdr:spPr>
        <a:xfrm>
          <a:off x="21960840" y="1354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83820</xdr:colOff>
      <xdr:row>741</xdr:row>
      <xdr:rowOff>114300</xdr:rowOff>
    </xdr:to>
    <xdr:sp macro="" textlink="">
      <xdr:nvSpPr>
        <xdr:cNvPr id="5589" name="Arrow: Down 5588">
          <a:extLst>
            <a:ext uri="{FF2B5EF4-FFF2-40B4-BE49-F238E27FC236}">
              <a16:creationId xmlns:a16="http://schemas.microsoft.com/office/drawing/2014/main" id="{B851E479-0C5E-41B5-B1C2-3ED6C540C6B2}"/>
            </a:ext>
          </a:extLst>
        </xdr:cNvPr>
        <xdr:cNvSpPr/>
      </xdr:nvSpPr>
      <xdr:spPr>
        <a:xfrm rot="10800000">
          <a:off x="192786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741</xdr:row>
      <xdr:rowOff>0</xdr:rowOff>
    </xdr:from>
    <xdr:to>
      <xdr:col>11</xdr:col>
      <xdr:colOff>83820</xdr:colOff>
      <xdr:row>741</xdr:row>
      <xdr:rowOff>114300</xdr:rowOff>
    </xdr:to>
    <xdr:sp macro="" textlink="">
      <xdr:nvSpPr>
        <xdr:cNvPr id="5590" name="Arrow: Down 5589">
          <a:extLst>
            <a:ext uri="{FF2B5EF4-FFF2-40B4-BE49-F238E27FC236}">
              <a16:creationId xmlns:a16="http://schemas.microsoft.com/office/drawing/2014/main" id="{DDB650AB-A879-45D8-9CBC-CDBC06B3D2A6}"/>
            </a:ext>
          </a:extLst>
        </xdr:cNvPr>
        <xdr:cNvSpPr/>
      </xdr:nvSpPr>
      <xdr:spPr>
        <a:xfrm rot="10800000">
          <a:off x="36957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741</xdr:row>
      <xdr:rowOff>0</xdr:rowOff>
    </xdr:from>
    <xdr:to>
      <xdr:col>24</xdr:col>
      <xdr:colOff>83820</xdr:colOff>
      <xdr:row>741</xdr:row>
      <xdr:rowOff>114300</xdr:rowOff>
    </xdr:to>
    <xdr:sp macro="" textlink="">
      <xdr:nvSpPr>
        <xdr:cNvPr id="5592" name="Arrow: Down 5591">
          <a:extLst>
            <a:ext uri="{FF2B5EF4-FFF2-40B4-BE49-F238E27FC236}">
              <a16:creationId xmlns:a16="http://schemas.microsoft.com/office/drawing/2014/main" id="{C1FAFF84-9381-4AFD-867B-7133CADF8CDE}"/>
            </a:ext>
          </a:extLst>
        </xdr:cNvPr>
        <xdr:cNvSpPr/>
      </xdr:nvSpPr>
      <xdr:spPr>
        <a:xfrm rot="10800000">
          <a:off x="833628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741</xdr:row>
      <xdr:rowOff>0</xdr:rowOff>
    </xdr:from>
    <xdr:to>
      <xdr:col>60</xdr:col>
      <xdr:colOff>83820</xdr:colOff>
      <xdr:row>741</xdr:row>
      <xdr:rowOff>114300</xdr:rowOff>
    </xdr:to>
    <xdr:sp macro="" textlink="">
      <xdr:nvSpPr>
        <xdr:cNvPr id="5595" name="Arrow: Down 5594">
          <a:extLst>
            <a:ext uri="{FF2B5EF4-FFF2-40B4-BE49-F238E27FC236}">
              <a16:creationId xmlns:a16="http://schemas.microsoft.com/office/drawing/2014/main" id="{20E95DEB-3404-4401-91E7-FB1270865E8E}"/>
            </a:ext>
          </a:extLst>
        </xdr:cNvPr>
        <xdr:cNvSpPr/>
      </xdr:nvSpPr>
      <xdr:spPr>
        <a:xfrm rot="10800000">
          <a:off x="1908048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742</xdr:row>
      <xdr:rowOff>0</xdr:rowOff>
    </xdr:from>
    <xdr:to>
      <xdr:col>64</xdr:col>
      <xdr:colOff>83820</xdr:colOff>
      <xdr:row>742</xdr:row>
      <xdr:rowOff>114300</xdr:rowOff>
    </xdr:to>
    <xdr:sp macro="" textlink="">
      <xdr:nvSpPr>
        <xdr:cNvPr id="5596" name="Arrow: Down 5595">
          <a:extLst>
            <a:ext uri="{FF2B5EF4-FFF2-40B4-BE49-F238E27FC236}">
              <a16:creationId xmlns:a16="http://schemas.microsoft.com/office/drawing/2014/main" id="{B75F7B47-8DAE-4DDC-B788-C9E5D9022771}"/>
            </a:ext>
          </a:extLst>
        </xdr:cNvPr>
        <xdr:cNvSpPr/>
      </xdr:nvSpPr>
      <xdr:spPr>
        <a:xfrm rot="10800000">
          <a:off x="19347180" y="135613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742</xdr:row>
      <xdr:rowOff>0</xdr:rowOff>
    </xdr:from>
    <xdr:to>
      <xdr:col>45</xdr:col>
      <xdr:colOff>83820</xdr:colOff>
      <xdr:row>742</xdr:row>
      <xdr:rowOff>114300</xdr:rowOff>
    </xdr:to>
    <xdr:sp macro="" textlink="">
      <xdr:nvSpPr>
        <xdr:cNvPr id="5600" name="Arrow: Down 5599">
          <a:extLst>
            <a:ext uri="{FF2B5EF4-FFF2-40B4-BE49-F238E27FC236}">
              <a16:creationId xmlns:a16="http://schemas.microsoft.com/office/drawing/2014/main" id="{F38C9D67-2FBD-4FED-83CA-7C9CC23625DC}"/>
            </a:ext>
          </a:extLst>
        </xdr:cNvPr>
        <xdr:cNvSpPr/>
      </xdr:nvSpPr>
      <xdr:spPr>
        <a:xfrm rot="10800000">
          <a:off x="13403580" y="135613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742</xdr:row>
      <xdr:rowOff>0</xdr:rowOff>
    </xdr:from>
    <xdr:to>
      <xdr:col>71</xdr:col>
      <xdr:colOff>83820</xdr:colOff>
      <xdr:row>742</xdr:row>
      <xdr:rowOff>114300</xdr:rowOff>
    </xdr:to>
    <xdr:sp macro="" textlink="">
      <xdr:nvSpPr>
        <xdr:cNvPr id="5601" name="Arrow: Down 5600">
          <a:extLst>
            <a:ext uri="{FF2B5EF4-FFF2-40B4-BE49-F238E27FC236}">
              <a16:creationId xmlns:a16="http://schemas.microsoft.com/office/drawing/2014/main" id="{4A720DA6-FFEA-4EF4-92EE-3610EA3C97C2}"/>
            </a:ext>
          </a:extLst>
        </xdr:cNvPr>
        <xdr:cNvSpPr/>
      </xdr:nvSpPr>
      <xdr:spPr>
        <a:xfrm>
          <a:off x="21960840" y="1356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742</xdr:row>
      <xdr:rowOff>0</xdr:rowOff>
    </xdr:from>
    <xdr:to>
      <xdr:col>5</xdr:col>
      <xdr:colOff>83820</xdr:colOff>
      <xdr:row>742</xdr:row>
      <xdr:rowOff>114300</xdr:rowOff>
    </xdr:to>
    <xdr:sp macro="" textlink="">
      <xdr:nvSpPr>
        <xdr:cNvPr id="5602" name="Arrow: Down 5601">
          <a:extLst>
            <a:ext uri="{FF2B5EF4-FFF2-40B4-BE49-F238E27FC236}">
              <a16:creationId xmlns:a16="http://schemas.microsoft.com/office/drawing/2014/main" id="{F2DF404A-CDF9-4585-804A-07BF1DF02D07}"/>
            </a:ext>
          </a:extLst>
        </xdr:cNvPr>
        <xdr:cNvSpPr/>
      </xdr:nvSpPr>
      <xdr:spPr>
        <a:xfrm rot="10800000">
          <a:off x="192786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742</xdr:row>
      <xdr:rowOff>0</xdr:rowOff>
    </xdr:from>
    <xdr:to>
      <xdr:col>11</xdr:col>
      <xdr:colOff>83820</xdr:colOff>
      <xdr:row>742</xdr:row>
      <xdr:rowOff>114300</xdr:rowOff>
    </xdr:to>
    <xdr:sp macro="" textlink="">
      <xdr:nvSpPr>
        <xdr:cNvPr id="5603" name="Arrow: Down 5602">
          <a:extLst>
            <a:ext uri="{FF2B5EF4-FFF2-40B4-BE49-F238E27FC236}">
              <a16:creationId xmlns:a16="http://schemas.microsoft.com/office/drawing/2014/main" id="{62F84693-4A93-444F-95AB-B0B67FC04CB9}"/>
            </a:ext>
          </a:extLst>
        </xdr:cNvPr>
        <xdr:cNvSpPr/>
      </xdr:nvSpPr>
      <xdr:spPr>
        <a:xfrm rot="10800000">
          <a:off x="369570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742</xdr:row>
      <xdr:rowOff>0</xdr:rowOff>
    </xdr:from>
    <xdr:to>
      <xdr:col>60</xdr:col>
      <xdr:colOff>83820</xdr:colOff>
      <xdr:row>742</xdr:row>
      <xdr:rowOff>114300</xdr:rowOff>
    </xdr:to>
    <xdr:sp macro="" textlink="">
      <xdr:nvSpPr>
        <xdr:cNvPr id="5609" name="Arrow: Down 5608">
          <a:extLst>
            <a:ext uri="{FF2B5EF4-FFF2-40B4-BE49-F238E27FC236}">
              <a16:creationId xmlns:a16="http://schemas.microsoft.com/office/drawing/2014/main" id="{E3049E80-8084-4A01-B10B-154333B3E82D}"/>
            </a:ext>
          </a:extLst>
        </xdr:cNvPr>
        <xdr:cNvSpPr/>
      </xdr:nvSpPr>
      <xdr:spPr>
        <a:xfrm rot="10800000">
          <a:off x="1908048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742</xdr:row>
      <xdr:rowOff>0</xdr:rowOff>
    </xdr:from>
    <xdr:to>
      <xdr:col>24</xdr:col>
      <xdr:colOff>83820</xdr:colOff>
      <xdr:row>742</xdr:row>
      <xdr:rowOff>114300</xdr:rowOff>
    </xdr:to>
    <xdr:sp macro="" textlink="">
      <xdr:nvSpPr>
        <xdr:cNvPr id="5611" name="Arrow: Down 5610">
          <a:extLst>
            <a:ext uri="{FF2B5EF4-FFF2-40B4-BE49-F238E27FC236}">
              <a16:creationId xmlns:a16="http://schemas.microsoft.com/office/drawing/2014/main" id="{854FF682-EAD8-4C10-9061-47ADB9463913}"/>
            </a:ext>
          </a:extLst>
        </xdr:cNvPr>
        <xdr:cNvSpPr/>
      </xdr:nvSpPr>
      <xdr:spPr>
        <a:xfrm>
          <a:off x="833628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743</xdr:row>
      <xdr:rowOff>0</xdr:rowOff>
    </xdr:from>
    <xdr:to>
      <xdr:col>64</xdr:col>
      <xdr:colOff>83820</xdr:colOff>
      <xdr:row>743</xdr:row>
      <xdr:rowOff>114300</xdr:rowOff>
    </xdr:to>
    <xdr:sp macro="" textlink="">
      <xdr:nvSpPr>
        <xdr:cNvPr id="5629" name="Arrow: Down 5628">
          <a:extLst>
            <a:ext uri="{FF2B5EF4-FFF2-40B4-BE49-F238E27FC236}">
              <a16:creationId xmlns:a16="http://schemas.microsoft.com/office/drawing/2014/main" id="{188293DE-170D-4AB9-9FAC-F9A17D5E8583}"/>
            </a:ext>
          </a:extLst>
        </xdr:cNvPr>
        <xdr:cNvSpPr/>
      </xdr:nvSpPr>
      <xdr:spPr>
        <a:xfrm rot="10800000">
          <a:off x="19347180" y="135796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743</xdr:row>
      <xdr:rowOff>0</xdr:rowOff>
    </xdr:from>
    <xdr:to>
      <xdr:col>45</xdr:col>
      <xdr:colOff>83820</xdr:colOff>
      <xdr:row>743</xdr:row>
      <xdr:rowOff>114300</xdr:rowOff>
    </xdr:to>
    <xdr:sp macro="" textlink="">
      <xdr:nvSpPr>
        <xdr:cNvPr id="5630" name="Arrow: Down 5629">
          <a:extLst>
            <a:ext uri="{FF2B5EF4-FFF2-40B4-BE49-F238E27FC236}">
              <a16:creationId xmlns:a16="http://schemas.microsoft.com/office/drawing/2014/main" id="{114981A5-1229-4C19-B767-ADF34A08955B}"/>
            </a:ext>
          </a:extLst>
        </xdr:cNvPr>
        <xdr:cNvSpPr/>
      </xdr:nvSpPr>
      <xdr:spPr>
        <a:xfrm rot="10800000">
          <a:off x="13403580" y="135796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743</xdr:row>
      <xdr:rowOff>0</xdr:rowOff>
    </xdr:from>
    <xdr:to>
      <xdr:col>71</xdr:col>
      <xdr:colOff>83820</xdr:colOff>
      <xdr:row>743</xdr:row>
      <xdr:rowOff>114300</xdr:rowOff>
    </xdr:to>
    <xdr:sp macro="" textlink="">
      <xdr:nvSpPr>
        <xdr:cNvPr id="5635" name="Arrow: Down 5634">
          <a:extLst>
            <a:ext uri="{FF2B5EF4-FFF2-40B4-BE49-F238E27FC236}">
              <a16:creationId xmlns:a16="http://schemas.microsoft.com/office/drawing/2014/main" id="{5D28B076-9982-47FE-B76E-D84C0B72F5C8}"/>
            </a:ext>
          </a:extLst>
        </xdr:cNvPr>
        <xdr:cNvSpPr/>
      </xdr:nvSpPr>
      <xdr:spPr>
        <a:xfrm>
          <a:off x="2196084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83820</xdr:colOff>
      <xdr:row>743</xdr:row>
      <xdr:rowOff>114300</xdr:rowOff>
    </xdr:to>
    <xdr:sp macro="" textlink="">
      <xdr:nvSpPr>
        <xdr:cNvPr id="5638" name="Arrow: Down 5637">
          <a:extLst>
            <a:ext uri="{FF2B5EF4-FFF2-40B4-BE49-F238E27FC236}">
              <a16:creationId xmlns:a16="http://schemas.microsoft.com/office/drawing/2014/main" id="{20CEF2BB-7694-47CF-80DD-96FDAAA93FC5}"/>
            </a:ext>
          </a:extLst>
        </xdr:cNvPr>
        <xdr:cNvSpPr/>
      </xdr:nvSpPr>
      <xdr:spPr>
        <a:xfrm rot="10800000">
          <a:off x="192786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743</xdr:row>
      <xdr:rowOff>0</xdr:rowOff>
    </xdr:from>
    <xdr:to>
      <xdr:col>11</xdr:col>
      <xdr:colOff>83820</xdr:colOff>
      <xdr:row>743</xdr:row>
      <xdr:rowOff>114300</xdr:rowOff>
    </xdr:to>
    <xdr:sp macro="" textlink="">
      <xdr:nvSpPr>
        <xdr:cNvPr id="5639" name="Arrow: Down 5638">
          <a:extLst>
            <a:ext uri="{FF2B5EF4-FFF2-40B4-BE49-F238E27FC236}">
              <a16:creationId xmlns:a16="http://schemas.microsoft.com/office/drawing/2014/main" id="{DD431F66-93D2-48F0-9BE0-514CE9386AA3}"/>
            </a:ext>
          </a:extLst>
        </xdr:cNvPr>
        <xdr:cNvSpPr/>
      </xdr:nvSpPr>
      <xdr:spPr>
        <a:xfrm rot="10800000">
          <a:off x="369570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743</xdr:row>
      <xdr:rowOff>0</xdr:rowOff>
    </xdr:from>
    <xdr:to>
      <xdr:col>60</xdr:col>
      <xdr:colOff>83820</xdr:colOff>
      <xdr:row>743</xdr:row>
      <xdr:rowOff>114300</xdr:rowOff>
    </xdr:to>
    <xdr:sp macro="" textlink="">
      <xdr:nvSpPr>
        <xdr:cNvPr id="5643" name="Arrow: Down 5642">
          <a:extLst>
            <a:ext uri="{FF2B5EF4-FFF2-40B4-BE49-F238E27FC236}">
              <a16:creationId xmlns:a16="http://schemas.microsoft.com/office/drawing/2014/main" id="{21E2BBA6-4D59-41C5-9F6F-347106C5E265}"/>
            </a:ext>
          </a:extLst>
        </xdr:cNvPr>
        <xdr:cNvSpPr/>
      </xdr:nvSpPr>
      <xdr:spPr>
        <a:xfrm rot="10800000">
          <a:off x="1908048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743</xdr:row>
      <xdr:rowOff>0</xdr:rowOff>
    </xdr:from>
    <xdr:to>
      <xdr:col>24</xdr:col>
      <xdr:colOff>83820</xdr:colOff>
      <xdr:row>743</xdr:row>
      <xdr:rowOff>114300</xdr:rowOff>
    </xdr:to>
    <xdr:sp macro="" textlink="">
      <xdr:nvSpPr>
        <xdr:cNvPr id="5644" name="Arrow: Down 5643">
          <a:extLst>
            <a:ext uri="{FF2B5EF4-FFF2-40B4-BE49-F238E27FC236}">
              <a16:creationId xmlns:a16="http://schemas.microsoft.com/office/drawing/2014/main" id="{92E04837-04D9-4316-9C59-58C54184678D}"/>
            </a:ext>
          </a:extLst>
        </xdr:cNvPr>
        <xdr:cNvSpPr/>
      </xdr:nvSpPr>
      <xdr:spPr>
        <a:xfrm>
          <a:off x="833628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743</xdr:row>
      <xdr:rowOff>0</xdr:rowOff>
    </xdr:from>
    <xdr:to>
      <xdr:col>39</xdr:col>
      <xdr:colOff>83820</xdr:colOff>
      <xdr:row>743</xdr:row>
      <xdr:rowOff>114300</xdr:rowOff>
    </xdr:to>
    <xdr:sp macro="" textlink="">
      <xdr:nvSpPr>
        <xdr:cNvPr id="5646" name="Arrow: Down 5645">
          <a:extLst>
            <a:ext uri="{FF2B5EF4-FFF2-40B4-BE49-F238E27FC236}">
              <a16:creationId xmlns:a16="http://schemas.microsoft.com/office/drawing/2014/main" id="{06342161-40B1-4606-B7B1-ED26243DD4BB}"/>
            </a:ext>
          </a:extLst>
        </xdr:cNvPr>
        <xdr:cNvSpPr/>
      </xdr:nvSpPr>
      <xdr:spPr>
        <a:xfrm rot="10800000">
          <a:off x="1154430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744</xdr:row>
      <xdr:rowOff>0</xdr:rowOff>
    </xdr:from>
    <xdr:to>
      <xdr:col>64</xdr:col>
      <xdr:colOff>83820</xdr:colOff>
      <xdr:row>744</xdr:row>
      <xdr:rowOff>114300</xdr:rowOff>
    </xdr:to>
    <xdr:sp macro="" textlink="">
      <xdr:nvSpPr>
        <xdr:cNvPr id="5647" name="Arrow: Down 5646">
          <a:extLst>
            <a:ext uri="{FF2B5EF4-FFF2-40B4-BE49-F238E27FC236}">
              <a16:creationId xmlns:a16="http://schemas.microsoft.com/office/drawing/2014/main" id="{4DCE9D43-C37D-4922-AF6B-D098B5A40D40}"/>
            </a:ext>
          </a:extLst>
        </xdr:cNvPr>
        <xdr:cNvSpPr/>
      </xdr:nvSpPr>
      <xdr:spPr>
        <a:xfrm rot="10800000">
          <a:off x="19347180" y="135978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744</xdr:row>
      <xdr:rowOff>0</xdr:rowOff>
    </xdr:from>
    <xdr:to>
      <xdr:col>45</xdr:col>
      <xdr:colOff>83820</xdr:colOff>
      <xdr:row>744</xdr:row>
      <xdr:rowOff>114300</xdr:rowOff>
    </xdr:to>
    <xdr:sp macro="" textlink="">
      <xdr:nvSpPr>
        <xdr:cNvPr id="5648" name="Arrow: Down 5647">
          <a:extLst>
            <a:ext uri="{FF2B5EF4-FFF2-40B4-BE49-F238E27FC236}">
              <a16:creationId xmlns:a16="http://schemas.microsoft.com/office/drawing/2014/main" id="{396EA81E-33ED-42CB-BBAA-899201DAB3FE}"/>
            </a:ext>
          </a:extLst>
        </xdr:cNvPr>
        <xdr:cNvSpPr/>
      </xdr:nvSpPr>
      <xdr:spPr>
        <a:xfrm rot="10800000">
          <a:off x="1340358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744</xdr:row>
      <xdr:rowOff>0</xdr:rowOff>
    </xdr:from>
    <xdr:to>
      <xdr:col>71</xdr:col>
      <xdr:colOff>83820</xdr:colOff>
      <xdr:row>744</xdr:row>
      <xdr:rowOff>114300</xdr:rowOff>
    </xdr:to>
    <xdr:sp macro="" textlink="">
      <xdr:nvSpPr>
        <xdr:cNvPr id="5649" name="Arrow: Down 5648">
          <a:extLst>
            <a:ext uri="{FF2B5EF4-FFF2-40B4-BE49-F238E27FC236}">
              <a16:creationId xmlns:a16="http://schemas.microsoft.com/office/drawing/2014/main" id="{4DD6B503-E934-4D81-BC7D-8A67CBAD717C}"/>
            </a:ext>
          </a:extLst>
        </xdr:cNvPr>
        <xdr:cNvSpPr/>
      </xdr:nvSpPr>
      <xdr:spPr>
        <a:xfrm>
          <a:off x="21960840" y="1359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83820</xdr:colOff>
      <xdr:row>744</xdr:row>
      <xdr:rowOff>114300</xdr:rowOff>
    </xdr:to>
    <xdr:sp macro="" textlink="">
      <xdr:nvSpPr>
        <xdr:cNvPr id="5650" name="Arrow: Down 5649">
          <a:extLst>
            <a:ext uri="{FF2B5EF4-FFF2-40B4-BE49-F238E27FC236}">
              <a16:creationId xmlns:a16="http://schemas.microsoft.com/office/drawing/2014/main" id="{2A8924BC-7695-4074-9CFA-1CCF2FFB8700}"/>
            </a:ext>
          </a:extLst>
        </xdr:cNvPr>
        <xdr:cNvSpPr/>
      </xdr:nvSpPr>
      <xdr:spPr>
        <a:xfrm rot="10800000">
          <a:off x="1927860" y="1359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744</xdr:row>
      <xdr:rowOff>0</xdr:rowOff>
    </xdr:from>
    <xdr:to>
      <xdr:col>11</xdr:col>
      <xdr:colOff>83820</xdr:colOff>
      <xdr:row>744</xdr:row>
      <xdr:rowOff>114300</xdr:rowOff>
    </xdr:to>
    <xdr:sp macro="" textlink="">
      <xdr:nvSpPr>
        <xdr:cNvPr id="5651" name="Arrow: Down 5650">
          <a:extLst>
            <a:ext uri="{FF2B5EF4-FFF2-40B4-BE49-F238E27FC236}">
              <a16:creationId xmlns:a16="http://schemas.microsoft.com/office/drawing/2014/main" id="{A69EAF8A-0923-405C-B41F-7ACB284DEB2E}"/>
            </a:ext>
          </a:extLst>
        </xdr:cNvPr>
        <xdr:cNvSpPr/>
      </xdr:nvSpPr>
      <xdr:spPr>
        <a:xfrm rot="10800000">
          <a:off x="3695700" y="1359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744</xdr:row>
      <xdr:rowOff>0</xdr:rowOff>
    </xdr:from>
    <xdr:to>
      <xdr:col>39</xdr:col>
      <xdr:colOff>83820</xdr:colOff>
      <xdr:row>744</xdr:row>
      <xdr:rowOff>114300</xdr:rowOff>
    </xdr:to>
    <xdr:sp macro="" textlink="">
      <xdr:nvSpPr>
        <xdr:cNvPr id="5654" name="Arrow: Down 5653">
          <a:extLst>
            <a:ext uri="{FF2B5EF4-FFF2-40B4-BE49-F238E27FC236}">
              <a16:creationId xmlns:a16="http://schemas.microsoft.com/office/drawing/2014/main" id="{AD786469-DDA3-4922-B184-A9CCA7554E8F}"/>
            </a:ext>
          </a:extLst>
        </xdr:cNvPr>
        <xdr:cNvSpPr/>
      </xdr:nvSpPr>
      <xdr:spPr>
        <a:xfrm rot="10800000">
          <a:off x="1154430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744</xdr:row>
      <xdr:rowOff>0</xdr:rowOff>
    </xdr:from>
    <xdr:to>
      <xdr:col>60</xdr:col>
      <xdr:colOff>83820</xdr:colOff>
      <xdr:row>744</xdr:row>
      <xdr:rowOff>114300</xdr:rowOff>
    </xdr:to>
    <xdr:sp macro="" textlink="">
      <xdr:nvSpPr>
        <xdr:cNvPr id="5656" name="Arrow: Down 5655">
          <a:extLst>
            <a:ext uri="{FF2B5EF4-FFF2-40B4-BE49-F238E27FC236}">
              <a16:creationId xmlns:a16="http://schemas.microsoft.com/office/drawing/2014/main" id="{C297934D-CDCF-43EB-AD14-D29BE80A10CA}"/>
            </a:ext>
          </a:extLst>
        </xdr:cNvPr>
        <xdr:cNvSpPr/>
      </xdr:nvSpPr>
      <xdr:spPr>
        <a:xfrm>
          <a:off x="19080480" y="1361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744</xdr:row>
      <xdr:rowOff>0</xdr:rowOff>
    </xdr:from>
    <xdr:to>
      <xdr:col>24</xdr:col>
      <xdr:colOff>83820</xdr:colOff>
      <xdr:row>744</xdr:row>
      <xdr:rowOff>114300</xdr:rowOff>
    </xdr:to>
    <xdr:sp macro="" textlink="">
      <xdr:nvSpPr>
        <xdr:cNvPr id="5658" name="Arrow: Down 5657">
          <a:extLst>
            <a:ext uri="{FF2B5EF4-FFF2-40B4-BE49-F238E27FC236}">
              <a16:creationId xmlns:a16="http://schemas.microsoft.com/office/drawing/2014/main" id="{2BFE1E00-2D72-4223-BE4F-C0F633AF26B9}"/>
            </a:ext>
          </a:extLst>
        </xdr:cNvPr>
        <xdr:cNvSpPr/>
      </xdr:nvSpPr>
      <xdr:spPr>
        <a:xfrm rot="10800000">
          <a:off x="8336280" y="13616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745</xdr:row>
      <xdr:rowOff>0</xdr:rowOff>
    </xdr:from>
    <xdr:to>
      <xdr:col>64</xdr:col>
      <xdr:colOff>83820</xdr:colOff>
      <xdr:row>745</xdr:row>
      <xdr:rowOff>114300</xdr:rowOff>
    </xdr:to>
    <xdr:sp macro="" textlink="">
      <xdr:nvSpPr>
        <xdr:cNvPr id="5659" name="Arrow: Down 5658">
          <a:extLst>
            <a:ext uri="{FF2B5EF4-FFF2-40B4-BE49-F238E27FC236}">
              <a16:creationId xmlns:a16="http://schemas.microsoft.com/office/drawing/2014/main" id="{F6432D8C-E9DC-4DFB-8784-A8400554B21A}"/>
            </a:ext>
          </a:extLst>
        </xdr:cNvPr>
        <xdr:cNvSpPr/>
      </xdr:nvSpPr>
      <xdr:spPr>
        <a:xfrm rot="10800000">
          <a:off x="19347180" y="136161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745</xdr:row>
      <xdr:rowOff>0</xdr:rowOff>
    </xdr:from>
    <xdr:to>
      <xdr:col>45</xdr:col>
      <xdr:colOff>83820</xdr:colOff>
      <xdr:row>745</xdr:row>
      <xdr:rowOff>114300</xdr:rowOff>
    </xdr:to>
    <xdr:sp macro="" textlink="">
      <xdr:nvSpPr>
        <xdr:cNvPr id="5660" name="Arrow: Down 5659">
          <a:extLst>
            <a:ext uri="{FF2B5EF4-FFF2-40B4-BE49-F238E27FC236}">
              <a16:creationId xmlns:a16="http://schemas.microsoft.com/office/drawing/2014/main" id="{F816B398-871D-4D24-BF7C-81B32664CF24}"/>
            </a:ext>
          </a:extLst>
        </xdr:cNvPr>
        <xdr:cNvSpPr/>
      </xdr:nvSpPr>
      <xdr:spPr>
        <a:xfrm rot="10800000">
          <a:off x="13403580" y="136161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745</xdr:row>
      <xdr:rowOff>0</xdr:rowOff>
    </xdr:from>
    <xdr:to>
      <xdr:col>71</xdr:col>
      <xdr:colOff>83820</xdr:colOff>
      <xdr:row>745</xdr:row>
      <xdr:rowOff>114300</xdr:rowOff>
    </xdr:to>
    <xdr:sp macro="" textlink="">
      <xdr:nvSpPr>
        <xdr:cNvPr id="5661" name="Arrow: Down 5660">
          <a:extLst>
            <a:ext uri="{FF2B5EF4-FFF2-40B4-BE49-F238E27FC236}">
              <a16:creationId xmlns:a16="http://schemas.microsoft.com/office/drawing/2014/main" id="{71F2E424-FF00-4D13-B2E3-3B2A290448D3}"/>
            </a:ext>
          </a:extLst>
        </xdr:cNvPr>
        <xdr:cNvSpPr/>
      </xdr:nvSpPr>
      <xdr:spPr>
        <a:xfrm>
          <a:off x="21960840" y="1361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745</xdr:row>
      <xdr:rowOff>0</xdr:rowOff>
    </xdr:from>
    <xdr:to>
      <xdr:col>60</xdr:col>
      <xdr:colOff>83820</xdr:colOff>
      <xdr:row>745</xdr:row>
      <xdr:rowOff>114300</xdr:rowOff>
    </xdr:to>
    <xdr:sp macro="" textlink="">
      <xdr:nvSpPr>
        <xdr:cNvPr id="5667" name="Arrow: Down 5666">
          <a:extLst>
            <a:ext uri="{FF2B5EF4-FFF2-40B4-BE49-F238E27FC236}">
              <a16:creationId xmlns:a16="http://schemas.microsoft.com/office/drawing/2014/main" id="{DBBF8AB1-6CE1-4B61-99DF-54E65BE013FB}"/>
            </a:ext>
          </a:extLst>
        </xdr:cNvPr>
        <xdr:cNvSpPr/>
      </xdr:nvSpPr>
      <xdr:spPr>
        <a:xfrm rot="10800000">
          <a:off x="1908048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745</xdr:row>
      <xdr:rowOff>0</xdr:rowOff>
    </xdr:from>
    <xdr:to>
      <xdr:col>39</xdr:col>
      <xdr:colOff>83820</xdr:colOff>
      <xdr:row>745</xdr:row>
      <xdr:rowOff>114300</xdr:rowOff>
    </xdr:to>
    <xdr:sp macro="" textlink="">
      <xdr:nvSpPr>
        <xdr:cNvPr id="5669" name="Arrow: Down 5668">
          <a:extLst>
            <a:ext uri="{FF2B5EF4-FFF2-40B4-BE49-F238E27FC236}">
              <a16:creationId xmlns:a16="http://schemas.microsoft.com/office/drawing/2014/main" id="{506B4E3D-6DA4-4688-A10E-EFBF385B4ED7}"/>
            </a:ext>
          </a:extLst>
        </xdr:cNvPr>
        <xdr:cNvSpPr/>
      </xdr:nvSpPr>
      <xdr:spPr>
        <a:xfrm>
          <a:off x="1154430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740</xdr:row>
      <xdr:rowOff>0</xdr:rowOff>
    </xdr:from>
    <xdr:to>
      <xdr:col>39</xdr:col>
      <xdr:colOff>83820</xdr:colOff>
      <xdr:row>740</xdr:row>
      <xdr:rowOff>114300</xdr:rowOff>
    </xdr:to>
    <xdr:sp macro="" textlink="">
      <xdr:nvSpPr>
        <xdr:cNvPr id="5671" name="Arrow: Down 5670">
          <a:extLst>
            <a:ext uri="{FF2B5EF4-FFF2-40B4-BE49-F238E27FC236}">
              <a16:creationId xmlns:a16="http://schemas.microsoft.com/office/drawing/2014/main" id="{B316558B-48A8-49FC-8E74-D23D82D92B8F}"/>
            </a:ext>
          </a:extLst>
        </xdr:cNvPr>
        <xdr:cNvSpPr/>
      </xdr:nvSpPr>
      <xdr:spPr>
        <a:xfrm>
          <a:off x="115443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741</xdr:row>
      <xdr:rowOff>0</xdr:rowOff>
    </xdr:from>
    <xdr:to>
      <xdr:col>39</xdr:col>
      <xdr:colOff>83820</xdr:colOff>
      <xdr:row>741</xdr:row>
      <xdr:rowOff>114300</xdr:rowOff>
    </xdr:to>
    <xdr:sp macro="" textlink="">
      <xdr:nvSpPr>
        <xdr:cNvPr id="5672" name="Arrow: Down 5671">
          <a:extLst>
            <a:ext uri="{FF2B5EF4-FFF2-40B4-BE49-F238E27FC236}">
              <a16:creationId xmlns:a16="http://schemas.microsoft.com/office/drawing/2014/main" id="{25B44702-34E4-4D14-9A77-103E9C46966D}"/>
            </a:ext>
          </a:extLst>
        </xdr:cNvPr>
        <xdr:cNvSpPr/>
      </xdr:nvSpPr>
      <xdr:spPr>
        <a:xfrm>
          <a:off x="1154430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742</xdr:row>
      <xdr:rowOff>0</xdr:rowOff>
    </xdr:from>
    <xdr:to>
      <xdr:col>39</xdr:col>
      <xdr:colOff>83820</xdr:colOff>
      <xdr:row>742</xdr:row>
      <xdr:rowOff>114300</xdr:rowOff>
    </xdr:to>
    <xdr:sp macro="" textlink="">
      <xdr:nvSpPr>
        <xdr:cNvPr id="5673" name="Arrow: Down 5672">
          <a:extLst>
            <a:ext uri="{FF2B5EF4-FFF2-40B4-BE49-F238E27FC236}">
              <a16:creationId xmlns:a16="http://schemas.microsoft.com/office/drawing/2014/main" id="{24CFA465-9EA7-44FC-9178-417054FF8D21}"/>
            </a:ext>
          </a:extLst>
        </xdr:cNvPr>
        <xdr:cNvSpPr/>
      </xdr:nvSpPr>
      <xdr:spPr>
        <a:xfrm>
          <a:off x="1154430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746</xdr:row>
      <xdr:rowOff>0</xdr:rowOff>
    </xdr:from>
    <xdr:to>
      <xdr:col>64</xdr:col>
      <xdr:colOff>83820</xdr:colOff>
      <xdr:row>746</xdr:row>
      <xdr:rowOff>114300</xdr:rowOff>
    </xdr:to>
    <xdr:sp macro="" textlink="">
      <xdr:nvSpPr>
        <xdr:cNvPr id="5682" name="Arrow: Down 5681">
          <a:extLst>
            <a:ext uri="{FF2B5EF4-FFF2-40B4-BE49-F238E27FC236}">
              <a16:creationId xmlns:a16="http://schemas.microsoft.com/office/drawing/2014/main" id="{D2A5F8ED-AB1B-42EA-84D3-51A78D8CF53F}"/>
            </a:ext>
          </a:extLst>
        </xdr:cNvPr>
        <xdr:cNvSpPr/>
      </xdr:nvSpPr>
      <xdr:spPr>
        <a:xfrm rot="10800000">
          <a:off x="19347180" y="136344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746</xdr:row>
      <xdr:rowOff>0</xdr:rowOff>
    </xdr:from>
    <xdr:to>
      <xdr:col>45</xdr:col>
      <xdr:colOff>83820</xdr:colOff>
      <xdr:row>746</xdr:row>
      <xdr:rowOff>114300</xdr:rowOff>
    </xdr:to>
    <xdr:sp macro="" textlink="">
      <xdr:nvSpPr>
        <xdr:cNvPr id="5683" name="Arrow: Down 5682">
          <a:extLst>
            <a:ext uri="{FF2B5EF4-FFF2-40B4-BE49-F238E27FC236}">
              <a16:creationId xmlns:a16="http://schemas.microsoft.com/office/drawing/2014/main" id="{7455BB1D-18AA-4389-8CFE-04109351DAD4}"/>
            </a:ext>
          </a:extLst>
        </xdr:cNvPr>
        <xdr:cNvSpPr/>
      </xdr:nvSpPr>
      <xdr:spPr>
        <a:xfrm rot="10800000">
          <a:off x="13403580" y="1363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746</xdr:row>
      <xdr:rowOff>0</xdr:rowOff>
    </xdr:from>
    <xdr:to>
      <xdr:col>71</xdr:col>
      <xdr:colOff>83820</xdr:colOff>
      <xdr:row>746</xdr:row>
      <xdr:rowOff>114300</xdr:rowOff>
    </xdr:to>
    <xdr:sp macro="" textlink="">
      <xdr:nvSpPr>
        <xdr:cNvPr id="5684" name="Arrow: Down 5683">
          <a:extLst>
            <a:ext uri="{FF2B5EF4-FFF2-40B4-BE49-F238E27FC236}">
              <a16:creationId xmlns:a16="http://schemas.microsoft.com/office/drawing/2014/main" id="{B1DE375F-FE5A-4F85-9E23-877DCED8B40D}"/>
            </a:ext>
          </a:extLst>
        </xdr:cNvPr>
        <xdr:cNvSpPr/>
      </xdr:nvSpPr>
      <xdr:spPr>
        <a:xfrm>
          <a:off x="2196084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746</xdr:row>
      <xdr:rowOff>0</xdr:rowOff>
    </xdr:from>
    <xdr:to>
      <xdr:col>39</xdr:col>
      <xdr:colOff>83820</xdr:colOff>
      <xdr:row>746</xdr:row>
      <xdr:rowOff>114300</xdr:rowOff>
    </xdr:to>
    <xdr:sp macro="" textlink="">
      <xdr:nvSpPr>
        <xdr:cNvPr id="5689" name="Arrow: Down 5688">
          <a:extLst>
            <a:ext uri="{FF2B5EF4-FFF2-40B4-BE49-F238E27FC236}">
              <a16:creationId xmlns:a16="http://schemas.microsoft.com/office/drawing/2014/main" id="{472DB59A-E75E-4FA7-9863-392CB0D4AEB6}"/>
            </a:ext>
          </a:extLst>
        </xdr:cNvPr>
        <xdr:cNvSpPr/>
      </xdr:nvSpPr>
      <xdr:spPr>
        <a:xfrm>
          <a:off x="1154430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746</xdr:row>
      <xdr:rowOff>0</xdr:rowOff>
    </xdr:from>
    <xdr:to>
      <xdr:col>60</xdr:col>
      <xdr:colOff>83820</xdr:colOff>
      <xdr:row>746</xdr:row>
      <xdr:rowOff>114300</xdr:rowOff>
    </xdr:to>
    <xdr:sp macro="" textlink="">
      <xdr:nvSpPr>
        <xdr:cNvPr id="5692" name="Arrow: Down 5691">
          <a:extLst>
            <a:ext uri="{FF2B5EF4-FFF2-40B4-BE49-F238E27FC236}">
              <a16:creationId xmlns:a16="http://schemas.microsoft.com/office/drawing/2014/main" id="{F2E2F2AE-BC05-47DC-B272-726517228667}"/>
            </a:ext>
          </a:extLst>
        </xdr:cNvPr>
        <xdr:cNvSpPr/>
      </xdr:nvSpPr>
      <xdr:spPr>
        <a:xfrm>
          <a:off x="190804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745</xdr:row>
      <xdr:rowOff>0</xdr:rowOff>
    </xdr:from>
    <xdr:to>
      <xdr:col>24</xdr:col>
      <xdr:colOff>83820</xdr:colOff>
      <xdr:row>745</xdr:row>
      <xdr:rowOff>114300</xdr:rowOff>
    </xdr:to>
    <xdr:sp macro="" textlink="">
      <xdr:nvSpPr>
        <xdr:cNvPr id="5694" name="Arrow: Down 5693">
          <a:extLst>
            <a:ext uri="{FF2B5EF4-FFF2-40B4-BE49-F238E27FC236}">
              <a16:creationId xmlns:a16="http://schemas.microsoft.com/office/drawing/2014/main" id="{64440CDB-A698-4F0E-9E2F-D39284BBB817}"/>
            </a:ext>
          </a:extLst>
        </xdr:cNvPr>
        <xdr:cNvSpPr/>
      </xdr:nvSpPr>
      <xdr:spPr>
        <a:xfrm>
          <a:off x="833628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746</xdr:row>
      <xdr:rowOff>0</xdr:rowOff>
    </xdr:from>
    <xdr:to>
      <xdr:col>24</xdr:col>
      <xdr:colOff>83820</xdr:colOff>
      <xdr:row>746</xdr:row>
      <xdr:rowOff>114300</xdr:rowOff>
    </xdr:to>
    <xdr:sp macro="" textlink="">
      <xdr:nvSpPr>
        <xdr:cNvPr id="5696" name="Arrow: Down 5695">
          <a:extLst>
            <a:ext uri="{FF2B5EF4-FFF2-40B4-BE49-F238E27FC236}">
              <a16:creationId xmlns:a16="http://schemas.microsoft.com/office/drawing/2014/main" id="{D0E5A30B-FCBE-46FC-B05B-29AC47054868}"/>
            </a:ext>
          </a:extLst>
        </xdr:cNvPr>
        <xdr:cNvSpPr/>
      </xdr:nvSpPr>
      <xdr:spPr>
        <a:xfrm>
          <a:off x="83362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745</xdr:row>
      <xdr:rowOff>0</xdr:rowOff>
    </xdr:from>
    <xdr:to>
      <xdr:col>11</xdr:col>
      <xdr:colOff>83820</xdr:colOff>
      <xdr:row>745</xdr:row>
      <xdr:rowOff>114300</xdr:rowOff>
    </xdr:to>
    <xdr:sp macro="" textlink="">
      <xdr:nvSpPr>
        <xdr:cNvPr id="5697" name="Arrow: Down 5696">
          <a:extLst>
            <a:ext uri="{FF2B5EF4-FFF2-40B4-BE49-F238E27FC236}">
              <a16:creationId xmlns:a16="http://schemas.microsoft.com/office/drawing/2014/main" id="{3C681A0D-C1D5-4E87-BAAD-EB7CB3D76CEA}"/>
            </a:ext>
          </a:extLst>
        </xdr:cNvPr>
        <xdr:cNvSpPr/>
      </xdr:nvSpPr>
      <xdr:spPr>
        <a:xfrm>
          <a:off x="369570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745</xdr:row>
      <xdr:rowOff>0</xdr:rowOff>
    </xdr:from>
    <xdr:to>
      <xdr:col>5</xdr:col>
      <xdr:colOff>83820</xdr:colOff>
      <xdr:row>745</xdr:row>
      <xdr:rowOff>114300</xdr:rowOff>
    </xdr:to>
    <xdr:sp macro="" textlink="">
      <xdr:nvSpPr>
        <xdr:cNvPr id="5699" name="Arrow: Down 5698">
          <a:extLst>
            <a:ext uri="{FF2B5EF4-FFF2-40B4-BE49-F238E27FC236}">
              <a16:creationId xmlns:a16="http://schemas.microsoft.com/office/drawing/2014/main" id="{AE177889-CF10-4B03-A54C-B246BAB953AE}"/>
            </a:ext>
          </a:extLst>
        </xdr:cNvPr>
        <xdr:cNvSpPr/>
      </xdr:nvSpPr>
      <xdr:spPr>
        <a:xfrm>
          <a:off x="192786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746</xdr:row>
      <xdr:rowOff>0</xdr:rowOff>
    </xdr:from>
    <xdr:to>
      <xdr:col>5</xdr:col>
      <xdr:colOff>83820</xdr:colOff>
      <xdr:row>746</xdr:row>
      <xdr:rowOff>114300</xdr:rowOff>
    </xdr:to>
    <xdr:sp macro="" textlink="">
      <xdr:nvSpPr>
        <xdr:cNvPr id="5700" name="Arrow: Down 5699">
          <a:extLst>
            <a:ext uri="{FF2B5EF4-FFF2-40B4-BE49-F238E27FC236}">
              <a16:creationId xmlns:a16="http://schemas.microsoft.com/office/drawing/2014/main" id="{B2F5962F-BE43-4B75-9C60-B03D23F8796C}"/>
            </a:ext>
          </a:extLst>
        </xdr:cNvPr>
        <xdr:cNvSpPr/>
      </xdr:nvSpPr>
      <xdr:spPr>
        <a:xfrm>
          <a:off x="192786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746</xdr:row>
      <xdr:rowOff>0</xdr:rowOff>
    </xdr:from>
    <xdr:to>
      <xdr:col>11</xdr:col>
      <xdr:colOff>83820</xdr:colOff>
      <xdr:row>746</xdr:row>
      <xdr:rowOff>114300</xdr:rowOff>
    </xdr:to>
    <xdr:sp macro="" textlink="">
      <xdr:nvSpPr>
        <xdr:cNvPr id="5702" name="Arrow: Down 5701">
          <a:extLst>
            <a:ext uri="{FF2B5EF4-FFF2-40B4-BE49-F238E27FC236}">
              <a16:creationId xmlns:a16="http://schemas.microsoft.com/office/drawing/2014/main" id="{03D77A61-BBB1-496E-92B2-F3AB33BD7537}"/>
            </a:ext>
          </a:extLst>
        </xdr:cNvPr>
        <xdr:cNvSpPr/>
      </xdr:nvSpPr>
      <xdr:spPr>
        <a:xfrm>
          <a:off x="369570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747</xdr:row>
      <xdr:rowOff>0</xdr:rowOff>
    </xdr:from>
    <xdr:to>
      <xdr:col>64</xdr:col>
      <xdr:colOff>83820</xdr:colOff>
      <xdr:row>747</xdr:row>
      <xdr:rowOff>114300</xdr:rowOff>
    </xdr:to>
    <xdr:sp macro="" textlink="">
      <xdr:nvSpPr>
        <xdr:cNvPr id="5703" name="Arrow: Down 5702">
          <a:extLst>
            <a:ext uri="{FF2B5EF4-FFF2-40B4-BE49-F238E27FC236}">
              <a16:creationId xmlns:a16="http://schemas.microsoft.com/office/drawing/2014/main" id="{296BF1D3-DD90-44D6-B524-80225A188D22}"/>
            </a:ext>
          </a:extLst>
        </xdr:cNvPr>
        <xdr:cNvSpPr/>
      </xdr:nvSpPr>
      <xdr:spPr>
        <a:xfrm rot="10800000">
          <a:off x="19347180" y="136527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747</xdr:row>
      <xdr:rowOff>0</xdr:rowOff>
    </xdr:from>
    <xdr:to>
      <xdr:col>45</xdr:col>
      <xdr:colOff>83820</xdr:colOff>
      <xdr:row>747</xdr:row>
      <xdr:rowOff>114300</xdr:rowOff>
    </xdr:to>
    <xdr:sp macro="" textlink="">
      <xdr:nvSpPr>
        <xdr:cNvPr id="5704" name="Arrow: Down 5703">
          <a:extLst>
            <a:ext uri="{FF2B5EF4-FFF2-40B4-BE49-F238E27FC236}">
              <a16:creationId xmlns:a16="http://schemas.microsoft.com/office/drawing/2014/main" id="{9B6F8B76-18C0-481E-A018-C9BB2830598F}"/>
            </a:ext>
          </a:extLst>
        </xdr:cNvPr>
        <xdr:cNvSpPr/>
      </xdr:nvSpPr>
      <xdr:spPr>
        <a:xfrm rot="10800000">
          <a:off x="13403580" y="1365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747</xdr:row>
      <xdr:rowOff>0</xdr:rowOff>
    </xdr:from>
    <xdr:to>
      <xdr:col>71</xdr:col>
      <xdr:colOff>83820</xdr:colOff>
      <xdr:row>747</xdr:row>
      <xdr:rowOff>114300</xdr:rowOff>
    </xdr:to>
    <xdr:sp macro="" textlink="">
      <xdr:nvSpPr>
        <xdr:cNvPr id="5705" name="Arrow: Down 5704">
          <a:extLst>
            <a:ext uri="{FF2B5EF4-FFF2-40B4-BE49-F238E27FC236}">
              <a16:creationId xmlns:a16="http://schemas.microsoft.com/office/drawing/2014/main" id="{2FCFBA7F-90A8-47FC-A3AA-43A8CE2F2680}"/>
            </a:ext>
          </a:extLst>
        </xdr:cNvPr>
        <xdr:cNvSpPr/>
      </xdr:nvSpPr>
      <xdr:spPr>
        <a:xfrm>
          <a:off x="2196084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747</xdr:row>
      <xdr:rowOff>0</xdr:rowOff>
    </xdr:from>
    <xdr:to>
      <xdr:col>60</xdr:col>
      <xdr:colOff>83820</xdr:colOff>
      <xdr:row>747</xdr:row>
      <xdr:rowOff>114300</xdr:rowOff>
    </xdr:to>
    <xdr:sp macro="" textlink="">
      <xdr:nvSpPr>
        <xdr:cNvPr id="5707" name="Arrow: Down 5706">
          <a:extLst>
            <a:ext uri="{FF2B5EF4-FFF2-40B4-BE49-F238E27FC236}">
              <a16:creationId xmlns:a16="http://schemas.microsoft.com/office/drawing/2014/main" id="{6BD5FDB7-88AC-4108-994D-7D0C2C4214F5}"/>
            </a:ext>
          </a:extLst>
        </xdr:cNvPr>
        <xdr:cNvSpPr/>
      </xdr:nvSpPr>
      <xdr:spPr>
        <a:xfrm>
          <a:off x="190804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747</xdr:row>
      <xdr:rowOff>0</xdr:rowOff>
    </xdr:from>
    <xdr:to>
      <xdr:col>39</xdr:col>
      <xdr:colOff>83820</xdr:colOff>
      <xdr:row>747</xdr:row>
      <xdr:rowOff>114300</xdr:rowOff>
    </xdr:to>
    <xdr:sp macro="" textlink="">
      <xdr:nvSpPr>
        <xdr:cNvPr id="5712" name="Arrow: Down 5711">
          <a:extLst>
            <a:ext uri="{FF2B5EF4-FFF2-40B4-BE49-F238E27FC236}">
              <a16:creationId xmlns:a16="http://schemas.microsoft.com/office/drawing/2014/main" id="{17FF1846-13FC-4916-BFF6-45A9EF09A084}"/>
            </a:ext>
          </a:extLst>
        </xdr:cNvPr>
        <xdr:cNvSpPr/>
      </xdr:nvSpPr>
      <xdr:spPr>
        <a:xfrm rot="10800000">
          <a:off x="11544300" y="1367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747</xdr:row>
      <xdr:rowOff>0</xdr:rowOff>
    </xdr:from>
    <xdr:to>
      <xdr:col>24</xdr:col>
      <xdr:colOff>83820</xdr:colOff>
      <xdr:row>747</xdr:row>
      <xdr:rowOff>114300</xdr:rowOff>
    </xdr:to>
    <xdr:sp macro="" textlink="">
      <xdr:nvSpPr>
        <xdr:cNvPr id="5714" name="Arrow: Down 5713">
          <a:extLst>
            <a:ext uri="{FF2B5EF4-FFF2-40B4-BE49-F238E27FC236}">
              <a16:creationId xmlns:a16="http://schemas.microsoft.com/office/drawing/2014/main" id="{A0DA1AC9-E415-428C-B427-F72B7682A009}"/>
            </a:ext>
          </a:extLst>
        </xdr:cNvPr>
        <xdr:cNvSpPr/>
      </xdr:nvSpPr>
      <xdr:spPr>
        <a:xfrm rot="10800000">
          <a:off x="833628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747</xdr:row>
      <xdr:rowOff>0</xdr:rowOff>
    </xdr:from>
    <xdr:to>
      <xdr:col>11</xdr:col>
      <xdr:colOff>83820</xdr:colOff>
      <xdr:row>747</xdr:row>
      <xdr:rowOff>114300</xdr:rowOff>
    </xdr:to>
    <xdr:sp macro="" textlink="">
      <xdr:nvSpPr>
        <xdr:cNvPr id="5716" name="Arrow: Down 5715">
          <a:extLst>
            <a:ext uri="{FF2B5EF4-FFF2-40B4-BE49-F238E27FC236}">
              <a16:creationId xmlns:a16="http://schemas.microsoft.com/office/drawing/2014/main" id="{CE5A684A-308C-4084-8564-F213F1F59179}"/>
            </a:ext>
          </a:extLst>
        </xdr:cNvPr>
        <xdr:cNvSpPr/>
      </xdr:nvSpPr>
      <xdr:spPr>
        <a:xfrm rot="10800000">
          <a:off x="369570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747</xdr:row>
      <xdr:rowOff>0</xdr:rowOff>
    </xdr:from>
    <xdr:to>
      <xdr:col>5</xdr:col>
      <xdr:colOff>83820</xdr:colOff>
      <xdr:row>747</xdr:row>
      <xdr:rowOff>114300</xdr:rowOff>
    </xdr:to>
    <xdr:sp macro="" textlink="">
      <xdr:nvSpPr>
        <xdr:cNvPr id="5718" name="Arrow: Down 5717">
          <a:extLst>
            <a:ext uri="{FF2B5EF4-FFF2-40B4-BE49-F238E27FC236}">
              <a16:creationId xmlns:a16="http://schemas.microsoft.com/office/drawing/2014/main" id="{0A8761CD-409C-4181-BF98-A00E8809E5CE}"/>
            </a:ext>
          </a:extLst>
        </xdr:cNvPr>
        <xdr:cNvSpPr/>
      </xdr:nvSpPr>
      <xdr:spPr>
        <a:xfrm rot="10800000">
          <a:off x="192786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748</xdr:row>
      <xdr:rowOff>0</xdr:rowOff>
    </xdr:from>
    <xdr:to>
      <xdr:col>64</xdr:col>
      <xdr:colOff>83820</xdr:colOff>
      <xdr:row>748</xdr:row>
      <xdr:rowOff>114300</xdr:rowOff>
    </xdr:to>
    <xdr:sp macro="" textlink="">
      <xdr:nvSpPr>
        <xdr:cNvPr id="5727" name="Arrow: Down 5726">
          <a:extLst>
            <a:ext uri="{FF2B5EF4-FFF2-40B4-BE49-F238E27FC236}">
              <a16:creationId xmlns:a16="http://schemas.microsoft.com/office/drawing/2014/main" id="{2E416ED5-392C-48C3-B82D-C84D1549F540}"/>
            </a:ext>
          </a:extLst>
        </xdr:cNvPr>
        <xdr:cNvSpPr/>
      </xdr:nvSpPr>
      <xdr:spPr>
        <a:xfrm rot="10800000">
          <a:off x="19347180" y="136710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748</xdr:row>
      <xdr:rowOff>0</xdr:rowOff>
    </xdr:from>
    <xdr:to>
      <xdr:col>45</xdr:col>
      <xdr:colOff>83820</xdr:colOff>
      <xdr:row>748</xdr:row>
      <xdr:rowOff>114300</xdr:rowOff>
    </xdr:to>
    <xdr:sp macro="" textlink="">
      <xdr:nvSpPr>
        <xdr:cNvPr id="5728" name="Arrow: Down 5727">
          <a:extLst>
            <a:ext uri="{FF2B5EF4-FFF2-40B4-BE49-F238E27FC236}">
              <a16:creationId xmlns:a16="http://schemas.microsoft.com/office/drawing/2014/main" id="{810BC575-F601-42CA-A2A9-75AA5210DEC3}"/>
            </a:ext>
          </a:extLst>
        </xdr:cNvPr>
        <xdr:cNvSpPr/>
      </xdr:nvSpPr>
      <xdr:spPr>
        <a:xfrm rot="10800000">
          <a:off x="13403580" y="1367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748</xdr:row>
      <xdr:rowOff>0</xdr:rowOff>
    </xdr:from>
    <xdr:to>
      <xdr:col>71</xdr:col>
      <xdr:colOff>83820</xdr:colOff>
      <xdr:row>748</xdr:row>
      <xdr:rowOff>114300</xdr:rowOff>
    </xdr:to>
    <xdr:sp macro="" textlink="">
      <xdr:nvSpPr>
        <xdr:cNvPr id="5729" name="Arrow: Down 5728">
          <a:extLst>
            <a:ext uri="{FF2B5EF4-FFF2-40B4-BE49-F238E27FC236}">
              <a16:creationId xmlns:a16="http://schemas.microsoft.com/office/drawing/2014/main" id="{CDB13656-9D9A-4FAB-A13B-B2CD35FEAE13}"/>
            </a:ext>
          </a:extLst>
        </xdr:cNvPr>
        <xdr:cNvSpPr/>
      </xdr:nvSpPr>
      <xdr:spPr>
        <a:xfrm>
          <a:off x="21960840" y="1367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748</xdr:row>
      <xdr:rowOff>0</xdr:rowOff>
    </xdr:from>
    <xdr:to>
      <xdr:col>24</xdr:col>
      <xdr:colOff>83820</xdr:colOff>
      <xdr:row>748</xdr:row>
      <xdr:rowOff>114300</xdr:rowOff>
    </xdr:to>
    <xdr:sp macro="" textlink="">
      <xdr:nvSpPr>
        <xdr:cNvPr id="5732" name="Arrow: Down 5731">
          <a:extLst>
            <a:ext uri="{FF2B5EF4-FFF2-40B4-BE49-F238E27FC236}">
              <a16:creationId xmlns:a16="http://schemas.microsoft.com/office/drawing/2014/main" id="{78E2CA00-A191-4032-BAC9-852FD451C97D}"/>
            </a:ext>
          </a:extLst>
        </xdr:cNvPr>
        <xdr:cNvSpPr/>
      </xdr:nvSpPr>
      <xdr:spPr>
        <a:xfrm rot="10800000">
          <a:off x="833628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748</xdr:row>
      <xdr:rowOff>0</xdr:rowOff>
    </xdr:from>
    <xdr:to>
      <xdr:col>11</xdr:col>
      <xdr:colOff>83820</xdr:colOff>
      <xdr:row>748</xdr:row>
      <xdr:rowOff>114300</xdr:rowOff>
    </xdr:to>
    <xdr:sp macro="" textlink="">
      <xdr:nvSpPr>
        <xdr:cNvPr id="5733" name="Arrow: Down 5732">
          <a:extLst>
            <a:ext uri="{FF2B5EF4-FFF2-40B4-BE49-F238E27FC236}">
              <a16:creationId xmlns:a16="http://schemas.microsoft.com/office/drawing/2014/main" id="{239B7AB3-29D0-46C4-A8C6-03282B8784CE}"/>
            </a:ext>
          </a:extLst>
        </xdr:cNvPr>
        <xdr:cNvSpPr/>
      </xdr:nvSpPr>
      <xdr:spPr>
        <a:xfrm rot="10800000">
          <a:off x="369570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748</xdr:row>
      <xdr:rowOff>0</xdr:rowOff>
    </xdr:from>
    <xdr:to>
      <xdr:col>5</xdr:col>
      <xdr:colOff>83820</xdr:colOff>
      <xdr:row>748</xdr:row>
      <xdr:rowOff>114300</xdr:rowOff>
    </xdr:to>
    <xdr:sp macro="" textlink="">
      <xdr:nvSpPr>
        <xdr:cNvPr id="5734" name="Arrow: Down 5733">
          <a:extLst>
            <a:ext uri="{FF2B5EF4-FFF2-40B4-BE49-F238E27FC236}">
              <a16:creationId xmlns:a16="http://schemas.microsoft.com/office/drawing/2014/main" id="{F8AE4E44-6DB5-44D3-86B0-58A0DC8932CD}"/>
            </a:ext>
          </a:extLst>
        </xdr:cNvPr>
        <xdr:cNvSpPr/>
      </xdr:nvSpPr>
      <xdr:spPr>
        <a:xfrm rot="10800000">
          <a:off x="192786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748</xdr:row>
      <xdr:rowOff>0</xdr:rowOff>
    </xdr:from>
    <xdr:to>
      <xdr:col>39</xdr:col>
      <xdr:colOff>83820</xdr:colOff>
      <xdr:row>748</xdr:row>
      <xdr:rowOff>114300</xdr:rowOff>
    </xdr:to>
    <xdr:sp macro="" textlink="">
      <xdr:nvSpPr>
        <xdr:cNvPr id="5738" name="Arrow: Down 5737">
          <a:extLst>
            <a:ext uri="{FF2B5EF4-FFF2-40B4-BE49-F238E27FC236}">
              <a16:creationId xmlns:a16="http://schemas.microsoft.com/office/drawing/2014/main" id="{8B820AA4-1BED-4512-88E5-91DD12115E5E}"/>
            </a:ext>
          </a:extLst>
        </xdr:cNvPr>
        <xdr:cNvSpPr/>
      </xdr:nvSpPr>
      <xdr:spPr>
        <a:xfrm>
          <a:off x="1154430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748</xdr:row>
      <xdr:rowOff>0</xdr:rowOff>
    </xdr:from>
    <xdr:to>
      <xdr:col>60</xdr:col>
      <xdr:colOff>83820</xdr:colOff>
      <xdr:row>748</xdr:row>
      <xdr:rowOff>114300</xdr:rowOff>
    </xdr:to>
    <xdr:sp macro="" textlink="">
      <xdr:nvSpPr>
        <xdr:cNvPr id="5740" name="Arrow: Down 5739">
          <a:extLst>
            <a:ext uri="{FF2B5EF4-FFF2-40B4-BE49-F238E27FC236}">
              <a16:creationId xmlns:a16="http://schemas.microsoft.com/office/drawing/2014/main" id="{C120E964-0AB6-4974-86C3-5FBB48406E6F}"/>
            </a:ext>
          </a:extLst>
        </xdr:cNvPr>
        <xdr:cNvSpPr/>
      </xdr:nvSpPr>
      <xdr:spPr>
        <a:xfrm rot="10800000">
          <a:off x="1908048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749</xdr:row>
      <xdr:rowOff>0</xdr:rowOff>
    </xdr:from>
    <xdr:to>
      <xdr:col>64</xdr:col>
      <xdr:colOff>83820</xdr:colOff>
      <xdr:row>749</xdr:row>
      <xdr:rowOff>114300</xdr:rowOff>
    </xdr:to>
    <xdr:sp macro="" textlink="">
      <xdr:nvSpPr>
        <xdr:cNvPr id="5749" name="Arrow: Down 5748">
          <a:extLst>
            <a:ext uri="{FF2B5EF4-FFF2-40B4-BE49-F238E27FC236}">
              <a16:creationId xmlns:a16="http://schemas.microsoft.com/office/drawing/2014/main" id="{73FC150A-F3B8-4CFB-B25C-F88ADDDBD440}"/>
            </a:ext>
          </a:extLst>
        </xdr:cNvPr>
        <xdr:cNvSpPr/>
      </xdr:nvSpPr>
      <xdr:spPr>
        <a:xfrm rot="10800000">
          <a:off x="19347180" y="136893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749</xdr:row>
      <xdr:rowOff>0</xdr:rowOff>
    </xdr:from>
    <xdr:to>
      <xdr:col>45</xdr:col>
      <xdr:colOff>83820</xdr:colOff>
      <xdr:row>749</xdr:row>
      <xdr:rowOff>114300</xdr:rowOff>
    </xdr:to>
    <xdr:sp macro="" textlink="">
      <xdr:nvSpPr>
        <xdr:cNvPr id="5750" name="Arrow: Down 5749">
          <a:extLst>
            <a:ext uri="{FF2B5EF4-FFF2-40B4-BE49-F238E27FC236}">
              <a16:creationId xmlns:a16="http://schemas.microsoft.com/office/drawing/2014/main" id="{EBCE407C-2C9F-459C-B314-EE7E63D7C034}"/>
            </a:ext>
          </a:extLst>
        </xdr:cNvPr>
        <xdr:cNvSpPr/>
      </xdr:nvSpPr>
      <xdr:spPr>
        <a:xfrm rot="10800000">
          <a:off x="13403580" y="136893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749</xdr:row>
      <xdr:rowOff>0</xdr:rowOff>
    </xdr:from>
    <xdr:to>
      <xdr:col>71</xdr:col>
      <xdr:colOff>83820</xdr:colOff>
      <xdr:row>749</xdr:row>
      <xdr:rowOff>114300</xdr:rowOff>
    </xdr:to>
    <xdr:sp macro="" textlink="">
      <xdr:nvSpPr>
        <xdr:cNvPr id="5751" name="Arrow: Down 5750">
          <a:extLst>
            <a:ext uri="{FF2B5EF4-FFF2-40B4-BE49-F238E27FC236}">
              <a16:creationId xmlns:a16="http://schemas.microsoft.com/office/drawing/2014/main" id="{BB922B07-15DE-4EB1-8467-BC82FE61F73A}"/>
            </a:ext>
          </a:extLst>
        </xdr:cNvPr>
        <xdr:cNvSpPr/>
      </xdr:nvSpPr>
      <xdr:spPr>
        <a:xfrm>
          <a:off x="21960840" y="1368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749</xdr:row>
      <xdr:rowOff>0</xdr:rowOff>
    </xdr:from>
    <xdr:to>
      <xdr:col>24</xdr:col>
      <xdr:colOff>83820</xdr:colOff>
      <xdr:row>749</xdr:row>
      <xdr:rowOff>114300</xdr:rowOff>
    </xdr:to>
    <xdr:sp macro="" textlink="">
      <xdr:nvSpPr>
        <xdr:cNvPr id="5752" name="Arrow: Down 5751">
          <a:extLst>
            <a:ext uri="{FF2B5EF4-FFF2-40B4-BE49-F238E27FC236}">
              <a16:creationId xmlns:a16="http://schemas.microsoft.com/office/drawing/2014/main" id="{A37E543F-5120-45B9-BAB3-CDAE7E4E7A78}"/>
            </a:ext>
          </a:extLst>
        </xdr:cNvPr>
        <xdr:cNvSpPr/>
      </xdr:nvSpPr>
      <xdr:spPr>
        <a:xfrm rot="10800000">
          <a:off x="833628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749</xdr:row>
      <xdr:rowOff>0</xdr:rowOff>
    </xdr:from>
    <xdr:to>
      <xdr:col>11</xdr:col>
      <xdr:colOff>83820</xdr:colOff>
      <xdr:row>749</xdr:row>
      <xdr:rowOff>114300</xdr:rowOff>
    </xdr:to>
    <xdr:sp macro="" textlink="">
      <xdr:nvSpPr>
        <xdr:cNvPr id="5753" name="Arrow: Down 5752">
          <a:extLst>
            <a:ext uri="{FF2B5EF4-FFF2-40B4-BE49-F238E27FC236}">
              <a16:creationId xmlns:a16="http://schemas.microsoft.com/office/drawing/2014/main" id="{11C3201F-77EB-479A-82AA-463299BE0771}"/>
            </a:ext>
          </a:extLst>
        </xdr:cNvPr>
        <xdr:cNvSpPr/>
      </xdr:nvSpPr>
      <xdr:spPr>
        <a:xfrm rot="10800000">
          <a:off x="369570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749</xdr:row>
      <xdr:rowOff>0</xdr:rowOff>
    </xdr:from>
    <xdr:to>
      <xdr:col>5</xdr:col>
      <xdr:colOff>83820</xdr:colOff>
      <xdr:row>749</xdr:row>
      <xdr:rowOff>114300</xdr:rowOff>
    </xdr:to>
    <xdr:sp macro="" textlink="">
      <xdr:nvSpPr>
        <xdr:cNvPr id="5754" name="Arrow: Down 5753">
          <a:extLst>
            <a:ext uri="{FF2B5EF4-FFF2-40B4-BE49-F238E27FC236}">
              <a16:creationId xmlns:a16="http://schemas.microsoft.com/office/drawing/2014/main" id="{D399B636-BF60-4B34-9016-82B2DDCB784D}"/>
            </a:ext>
          </a:extLst>
        </xdr:cNvPr>
        <xdr:cNvSpPr/>
      </xdr:nvSpPr>
      <xdr:spPr>
        <a:xfrm rot="10800000">
          <a:off x="192786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749</xdr:row>
      <xdr:rowOff>0</xdr:rowOff>
    </xdr:from>
    <xdr:to>
      <xdr:col>39</xdr:col>
      <xdr:colOff>83820</xdr:colOff>
      <xdr:row>749</xdr:row>
      <xdr:rowOff>114300</xdr:rowOff>
    </xdr:to>
    <xdr:sp macro="" textlink="">
      <xdr:nvSpPr>
        <xdr:cNvPr id="5757" name="Arrow: Down 5756">
          <a:extLst>
            <a:ext uri="{FF2B5EF4-FFF2-40B4-BE49-F238E27FC236}">
              <a16:creationId xmlns:a16="http://schemas.microsoft.com/office/drawing/2014/main" id="{12C5346E-B53E-405E-A412-CBC9D03A189A}"/>
            </a:ext>
          </a:extLst>
        </xdr:cNvPr>
        <xdr:cNvSpPr/>
      </xdr:nvSpPr>
      <xdr:spPr>
        <a:xfrm rot="10800000">
          <a:off x="11544300" y="137076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749</xdr:row>
      <xdr:rowOff>0</xdr:rowOff>
    </xdr:from>
    <xdr:to>
      <xdr:col>60</xdr:col>
      <xdr:colOff>83820</xdr:colOff>
      <xdr:row>749</xdr:row>
      <xdr:rowOff>114300</xdr:rowOff>
    </xdr:to>
    <xdr:sp macro="" textlink="">
      <xdr:nvSpPr>
        <xdr:cNvPr id="5759" name="Arrow: Down 5758">
          <a:extLst>
            <a:ext uri="{FF2B5EF4-FFF2-40B4-BE49-F238E27FC236}">
              <a16:creationId xmlns:a16="http://schemas.microsoft.com/office/drawing/2014/main" id="{D429B520-1263-48F2-8066-D86B69E89706}"/>
            </a:ext>
          </a:extLst>
        </xdr:cNvPr>
        <xdr:cNvSpPr/>
      </xdr:nvSpPr>
      <xdr:spPr>
        <a:xfrm>
          <a:off x="19080480" y="1370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750</xdr:row>
      <xdr:rowOff>0</xdr:rowOff>
    </xdr:from>
    <xdr:to>
      <xdr:col>64</xdr:col>
      <xdr:colOff>83820</xdr:colOff>
      <xdr:row>750</xdr:row>
      <xdr:rowOff>114300</xdr:rowOff>
    </xdr:to>
    <xdr:sp macro="" textlink="">
      <xdr:nvSpPr>
        <xdr:cNvPr id="5768" name="Arrow: Down 5767">
          <a:extLst>
            <a:ext uri="{FF2B5EF4-FFF2-40B4-BE49-F238E27FC236}">
              <a16:creationId xmlns:a16="http://schemas.microsoft.com/office/drawing/2014/main" id="{3F88C10C-398A-4C2D-AE9E-224AEB62A236}"/>
            </a:ext>
          </a:extLst>
        </xdr:cNvPr>
        <xdr:cNvSpPr/>
      </xdr:nvSpPr>
      <xdr:spPr>
        <a:xfrm rot="10800000">
          <a:off x="19347180" y="137076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750</xdr:row>
      <xdr:rowOff>0</xdr:rowOff>
    </xdr:from>
    <xdr:to>
      <xdr:col>45</xdr:col>
      <xdr:colOff>83820</xdr:colOff>
      <xdr:row>750</xdr:row>
      <xdr:rowOff>114300</xdr:rowOff>
    </xdr:to>
    <xdr:sp macro="" textlink="">
      <xdr:nvSpPr>
        <xdr:cNvPr id="5769" name="Arrow: Down 5768">
          <a:extLst>
            <a:ext uri="{FF2B5EF4-FFF2-40B4-BE49-F238E27FC236}">
              <a16:creationId xmlns:a16="http://schemas.microsoft.com/office/drawing/2014/main" id="{EF814CCE-C57F-4802-A814-9870FF69E136}"/>
            </a:ext>
          </a:extLst>
        </xdr:cNvPr>
        <xdr:cNvSpPr/>
      </xdr:nvSpPr>
      <xdr:spPr>
        <a:xfrm rot="10800000">
          <a:off x="13403580" y="137076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750</xdr:row>
      <xdr:rowOff>0</xdr:rowOff>
    </xdr:from>
    <xdr:to>
      <xdr:col>71</xdr:col>
      <xdr:colOff>83820</xdr:colOff>
      <xdr:row>750</xdr:row>
      <xdr:rowOff>114300</xdr:rowOff>
    </xdr:to>
    <xdr:sp macro="" textlink="">
      <xdr:nvSpPr>
        <xdr:cNvPr id="5770" name="Arrow: Down 5769">
          <a:extLst>
            <a:ext uri="{FF2B5EF4-FFF2-40B4-BE49-F238E27FC236}">
              <a16:creationId xmlns:a16="http://schemas.microsoft.com/office/drawing/2014/main" id="{FC828C0A-AB23-41F3-86E2-E3AB48D70740}"/>
            </a:ext>
          </a:extLst>
        </xdr:cNvPr>
        <xdr:cNvSpPr/>
      </xdr:nvSpPr>
      <xdr:spPr>
        <a:xfrm>
          <a:off x="21960840" y="1370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750</xdr:row>
      <xdr:rowOff>0</xdr:rowOff>
    </xdr:from>
    <xdr:to>
      <xdr:col>11</xdr:col>
      <xdr:colOff>83820</xdr:colOff>
      <xdr:row>750</xdr:row>
      <xdr:rowOff>114300</xdr:rowOff>
    </xdr:to>
    <xdr:sp macro="" textlink="">
      <xdr:nvSpPr>
        <xdr:cNvPr id="5772" name="Arrow: Down 5771">
          <a:extLst>
            <a:ext uri="{FF2B5EF4-FFF2-40B4-BE49-F238E27FC236}">
              <a16:creationId xmlns:a16="http://schemas.microsoft.com/office/drawing/2014/main" id="{6A87CBD4-ADEF-45DD-9FF4-4DB7FD4069A1}"/>
            </a:ext>
          </a:extLst>
        </xdr:cNvPr>
        <xdr:cNvSpPr/>
      </xdr:nvSpPr>
      <xdr:spPr>
        <a:xfrm rot="10800000">
          <a:off x="3695700" y="1370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750</xdr:row>
      <xdr:rowOff>0</xdr:rowOff>
    </xdr:from>
    <xdr:to>
      <xdr:col>5</xdr:col>
      <xdr:colOff>83820</xdr:colOff>
      <xdr:row>750</xdr:row>
      <xdr:rowOff>114300</xdr:rowOff>
    </xdr:to>
    <xdr:sp macro="" textlink="">
      <xdr:nvSpPr>
        <xdr:cNvPr id="5773" name="Arrow: Down 5772">
          <a:extLst>
            <a:ext uri="{FF2B5EF4-FFF2-40B4-BE49-F238E27FC236}">
              <a16:creationId xmlns:a16="http://schemas.microsoft.com/office/drawing/2014/main" id="{9749DCCB-DE06-4C31-8483-1B0502A938B7}"/>
            </a:ext>
          </a:extLst>
        </xdr:cNvPr>
        <xdr:cNvSpPr/>
      </xdr:nvSpPr>
      <xdr:spPr>
        <a:xfrm rot="10800000">
          <a:off x="1927860" y="1370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750</xdr:row>
      <xdr:rowOff>0</xdr:rowOff>
    </xdr:from>
    <xdr:to>
      <xdr:col>24</xdr:col>
      <xdr:colOff>83820</xdr:colOff>
      <xdr:row>750</xdr:row>
      <xdr:rowOff>114300</xdr:rowOff>
    </xdr:to>
    <xdr:sp macro="" textlink="">
      <xdr:nvSpPr>
        <xdr:cNvPr id="5777" name="Arrow: Down 5776">
          <a:extLst>
            <a:ext uri="{FF2B5EF4-FFF2-40B4-BE49-F238E27FC236}">
              <a16:creationId xmlns:a16="http://schemas.microsoft.com/office/drawing/2014/main" id="{F5138D44-C204-4475-81EB-29EBAACCD102}"/>
            </a:ext>
          </a:extLst>
        </xdr:cNvPr>
        <xdr:cNvSpPr/>
      </xdr:nvSpPr>
      <xdr:spPr>
        <a:xfrm>
          <a:off x="8336280" y="1372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750</xdr:row>
      <xdr:rowOff>0</xdr:rowOff>
    </xdr:from>
    <xdr:to>
      <xdr:col>39</xdr:col>
      <xdr:colOff>83820</xdr:colOff>
      <xdr:row>750</xdr:row>
      <xdr:rowOff>114300</xdr:rowOff>
    </xdr:to>
    <xdr:sp macro="" textlink="">
      <xdr:nvSpPr>
        <xdr:cNvPr id="5779" name="Arrow: Down 5778">
          <a:extLst>
            <a:ext uri="{FF2B5EF4-FFF2-40B4-BE49-F238E27FC236}">
              <a16:creationId xmlns:a16="http://schemas.microsoft.com/office/drawing/2014/main" id="{BFB91782-5FEE-4396-8E2B-47A3B95DF002}"/>
            </a:ext>
          </a:extLst>
        </xdr:cNvPr>
        <xdr:cNvSpPr/>
      </xdr:nvSpPr>
      <xdr:spPr>
        <a:xfrm>
          <a:off x="1154430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750</xdr:row>
      <xdr:rowOff>0</xdr:rowOff>
    </xdr:from>
    <xdr:to>
      <xdr:col>60</xdr:col>
      <xdr:colOff>83820</xdr:colOff>
      <xdr:row>750</xdr:row>
      <xdr:rowOff>114300</xdr:rowOff>
    </xdr:to>
    <xdr:sp macro="" textlink="">
      <xdr:nvSpPr>
        <xdr:cNvPr id="5782" name="Arrow: Down 5781">
          <a:extLst>
            <a:ext uri="{FF2B5EF4-FFF2-40B4-BE49-F238E27FC236}">
              <a16:creationId xmlns:a16="http://schemas.microsoft.com/office/drawing/2014/main" id="{6BE6A1F2-F431-4ED6-99A2-46777088F078}"/>
            </a:ext>
          </a:extLst>
        </xdr:cNvPr>
        <xdr:cNvSpPr/>
      </xdr:nvSpPr>
      <xdr:spPr>
        <a:xfrm rot="10800000">
          <a:off x="1908048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751</xdr:row>
      <xdr:rowOff>0</xdr:rowOff>
    </xdr:from>
    <xdr:to>
      <xdr:col>64</xdr:col>
      <xdr:colOff>83820</xdr:colOff>
      <xdr:row>751</xdr:row>
      <xdr:rowOff>114300</xdr:rowOff>
    </xdr:to>
    <xdr:sp macro="" textlink="">
      <xdr:nvSpPr>
        <xdr:cNvPr id="5791" name="Arrow: Down 5790">
          <a:extLst>
            <a:ext uri="{FF2B5EF4-FFF2-40B4-BE49-F238E27FC236}">
              <a16:creationId xmlns:a16="http://schemas.microsoft.com/office/drawing/2014/main" id="{AECC44C3-5CFE-4E52-818C-D329D44BA8F2}"/>
            </a:ext>
          </a:extLst>
        </xdr:cNvPr>
        <xdr:cNvSpPr/>
      </xdr:nvSpPr>
      <xdr:spPr>
        <a:xfrm rot="10800000">
          <a:off x="19347180" y="137259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751</xdr:row>
      <xdr:rowOff>0</xdr:rowOff>
    </xdr:from>
    <xdr:to>
      <xdr:col>45</xdr:col>
      <xdr:colOff>83820</xdr:colOff>
      <xdr:row>751</xdr:row>
      <xdr:rowOff>114300</xdr:rowOff>
    </xdr:to>
    <xdr:sp macro="" textlink="">
      <xdr:nvSpPr>
        <xdr:cNvPr id="5792" name="Arrow: Down 5791">
          <a:extLst>
            <a:ext uri="{FF2B5EF4-FFF2-40B4-BE49-F238E27FC236}">
              <a16:creationId xmlns:a16="http://schemas.microsoft.com/office/drawing/2014/main" id="{5A65AF3D-6B61-4683-B47C-31ED9B56BD67}"/>
            </a:ext>
          </a:extLst>
        </xdr:cNvPr>
        <xdr:cNvSpPr/>
      </xdr:nvSpPr>
      <xdr:spPr>
        <a:xfrm rot="10800000">
          <a:off x="13403580" y="1372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751</xdr:row>
      <xdr:rowOff>0</xdr:rowOff>
    </xdr:from>
    <xdr:to>
      <xdr:col>71</xdr:col>
      <xdr:colOff>83820</xdr:colOff>
      <xdr:row>751</xdr:row>
      <xdr:rowOff>114300</xdr:rowOff>
    </xdr:to>
    <xdr:sp macro="" textlink="">
      <xdr:nvSpPr>
        <xdr:cNvPr id="5793" name="Arrow: Down 5792">
          <a:extLst>
            <a:ext uri="{FF2B5EF4-FFF2-40B4-BE49-F238E27FC236}">
              <a16:creationId xmlns:a16="http://schemas.microsoft.com/office/drawing/2014/main" id="{89F30498-6C26-4714-BC97-6D9B7C01063A}"/>
            </a:ext>
          </a:extLst>
        </xdr:cNvPr>
        <xdr:cNvSpPr/>
      </xdr:nvSpPr>
      <xdr:spPr>
        <a:xfrm>
          <a:off x="21960840" y="1372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751</xdr:row>
      <xdr:rowOff>0</xdr:rowOff>
    </xdr:from>
    <xdr:to>
      <xdr:col>39</xdr:col>
      <xdr:colOff>83820</xdr:colOff>
      <xdr:row>751</xdr:row>
      <xdr:rowOff>114300</xdr:rowOff>
    </xdr:to>
    <xdr:sp macro="" textlink="">
      <xdr:nvSpPr>
        <xdr:cNvPr id="5797" name="Arrow: Down 5796">
          <a:extLst>
            <a:ext uri="{FF2B5EF4-FFF2-40B4-BE49-F238E27FC236}">
              <a16:creationId xmlns:a16="http://schemas.microsoft.com/office/drawing/2014/main" id="{D5010FB3-064F-461A-AAF3-3AA75EF31C58}"/>
            </a:ext>
          </a:extLst>
        </xdr:cNvPr>
        <xdr:cNvSpPr/>
      </xdr:nvSpPr>
      <xdr:spPr>
        <a:xfrm>
          <a:off x="1154430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751</xdr:row>
      <xdr:rowOff>0</xdr:rowOff>
    </xdr:from>
    <xdr:to>
      <xdr:col>60</xdr:col>
      <xdr:colOff>83820</xdr:colOff>
      <xdr:row>751</xdr:row>
      <xdr:rowOff>114300</xdr:rowOff>
    </xdr:to>
    <xdr:sp macro="" textlink="">
      <xdr:nvSpPr>
        <xdr:cNvPr id="5798" name="Arrow: Down 5797">
          <a:extLst>
            <a:ext uri="{FF2B5EF4-FFF2-40B4-BE49-F238E27FC236}">
              <a16:creationId xmlns:a16="http://schemas.microsoft.com/office/drawing/2014/main" id="{D3B5C179-EF78-4A72-A967-BA36FA12BDCE}"/>
            </a:ext>
          </a:extLst>
        </xdr:cNvPr>
        <xdr:cNvSpPr/>
      </xdr:nvSpPr>
      <xdr:spPr>
        <a:xfrm rot="10800000">
          <a:off x="1908048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751</xdr:row>
      <xdr:rowOff>0</xdr:rowOff>
    </xdr:from>
    <xdr:to>
      <xdr:col>5</xdr:col>
      <xdr:colOff>83820</xdr:colOff>
      <xdr:row>751</xdr:row>
      <xdr:rowOff>114300</xdr:rowOff>
    </xdr:to>
    <xdr:sp macro="" textlink="">
      <xdr:nvSpPr>
        <xdr:cNvPr id="5800" name="Arrow: Down 5799">
          <a:extLst>
            <a:ext uri="{FF2B5EF4-FFF2-40B4-BE49-F238E27FC236}">
              <a16:creationId xmlns:a16="http://schemas.microsoft.com/office/drawing/2014/main" id="{0A592F99-0113-4F9F-926C-9CA021631A53}"/>
            </a:ext>
          </a:extLst>
        </xdr:cNvPr>
        <xdr:cNvSpPr/>
      </xdr:nvSpPr>
      <xdr:spPr>
        <a:xfrm>
          <a:off x="192786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751</xdr:row>
      <xdr:rowOff>0</xdr:rowOff>
    </xdr:from>
    <xdr:to>
      <xdr:col>11</xdr:col>
      <xdr:colOff>83820</xdr:colOff>
      <xdr:row>751</xdr:row>
      <xdr:rowOff>114300</xdr:rowOff>
    </xdr:to>
    <xdr:sp macro="" textlink="">
      <xdr:nvSpPr>
        <xdr:cNvPr id="5802" name="Arrow: Down 5801">
          <a:extLst>
            <a:ext uri="{FF2B5EF4-FFF2-40B4-BE49-F238E27FC236}">
              <a16:creationId xmlns:a16="http://schemas.microsoft.com/office/drawing/2014/main" id="{5DEE3F5C-E31B-4B70-9812-7CC825EE733F}"/>
            </a:ext>
          </a:extLst>
        </xdr:cNvPr>
        <xdr:cNvSpPr/>
      </xdr:nvSpPr>
      <xdr:spPr>
        <a:xfrm>
          <a:off x="369570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751</xdr:row>
      <xdr:rowOff>0</xdr:rowOff>
    </xdr:from>
    <xdr:to>
      <xdr:col>24</xdr:col>
      <xdr:colOff>83820</xdr:colOff>
      <xdr:row>751</xdr:row>
      <xdr:rowOff>114300</xdr:rowOff>
    </xdr:to>
    <xdr:sp macro="" textlink="">
      <xdr:nvSpPr>
        <xdr:cNvPr id="5804" name="Arrow: Down 5803">
          <a:extLst>
            <a:ext uri="{FF2B5EF4-FFF2-40B4-BE49-F238E27FC236}">
              <a16:creationId xmlns:a16="http://schemas.microsoft.com/office/drawing/2014/main" id="{66F1E0DD-8F97-4875-99A6-360B85109555}"/>
            </a:ext>
          </a:extLst>
        </xdr:cNvPr>
        <xdr:cNvSpPr/>
      </xdr:nvSpPr>
      <xdr:spPr>
        <a:xfrm rot="10800000">
          <a:off x="833628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752</xdr:row>
      <xdr:rowOff>0</xdr:rowOff>
    </xdr:from>
    <xdr:to>
      <xdr:col>64</xdr:col>
      <xdr:colOff>83820</xdr:colOff>
      <xdr:row>752</xdr:row>
      <xdr:rowOff>114300</xdr:rowOff>
    </xdr:to>
    <xdr:sp macro="" textlink="">
      <xdr:nvSpPr>
        <xdr:cNvPr id="5813" name="Arrow: Down 5812">
          <a:extLst>
            <a:ext uri="{FF2B5EF4-FFF2-40B4-BE49-F238E27FC236}">
              <a16:creationId xmlns:a16="http://schemas.microsoft.com/office/drawing/2014/main" id="{471D1365-C142-4E16-804E-90A05E3EE77E}"/>
            </a:ext>
          </a:extLst>
        </xdr:cNvPr>
        <xdr:cNvSpPr/>
      </xdr:nvSpPr>
      <xdr:spPr>
        <a:xfrm rot="10800000">
          <a:off x="19347180" y="137441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752</xdr:row>
      <xdr:rowOff>0</xdr:rowOff>
    </xdr:from>
    <xdr:to>
      <xdr:col>45</xdr:col>
      <xdr:colOff>83820</xdr:colOff>
      <xdr:row>752</xdr:row>
      <xdr:rowOff>114300</xdr:rowOff>
    </xdr:to>
    <xdr:sp macro="" textlink="">
      <xdr:nvSpPr>
        <xdr:cNvPr id="5814" name="Arrow: Down 5813">
          <a:extLst>
            <a:ext uri="{FF2B5EF4-FFF2-40B4-BE49-F238E27FC236}">
              <a16:creationId xmlns:a16="http://schemas.microsoft.com/office/drawing/2014/main" id="{5D0ADE34-B828-45A8-B17F-691EC9EF6D8C}"/>
            </a:ext>
          </a:extLst>
        </xdr:cNvPr>
        <xdr:cNvSpPr/>
      </xdr:nvSpPr>
      <xdr:spPr>
        <a:xfrm rot="10800000">
          <a:off x="13403580" y="137441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752</xdr:row>
      <xdr:rowOff>0</xdr:rowOff>
    </xdr:from>
    <xdr:to>
      <xdr:col>71</xdr:col>
      <xdr:colOff>83820</xdr:colOff>
      <xdr:row>752</xdr:row>
      <xdr:rowOff>114300</xdr:rowOff>
    </xdr:to>
    <xdr:sp macro="" textlink="">
      <xdr:nvSpPr>
        <xdr:cNvPr id="5815" name="Arrow: Down 5814">
          <a:extLst>
            <a:ext uri="{FF2B5EF4-FFF2-40B4-BE49-F238E27FC236}">
              <a16:creationId xmlns:a16="http://schemas.microsoft.com/office/drawing/2014/main" id="{5290A2FB-245B-45F8-8802-4BCACF78E143}"/>
            </a:ext>
          </a:extLst>
        </xdr:cNvPr>
        <xdr:cNvSpPr/>
      </xdr:nvSpPr>
      <xdr:spPr>
        <a:xfrm>
          <a:off x="2196084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752</xdr:row>
      <xdr:rowOff>0</xdr:rowOff>
    </xdr:from>
    <xdr:to>
      <xdr:col>39</xdr:col>
      <xdr:colOff>83820</xdr:colOff>
      <xdr:row>752</xdr:row>
      <xdr:rowOff>114300</xdr:rowOff>
    </xdr:to>
    <xdr:sp macro="" textlink="">
      <xdr:nvSpPr>
        <xdr:cNvPr id="5816" name="Arrow: Down 5815">
          <a:extLst>
            <a:ext uri="{FF2B5EF4-FFF2-40B4-BE49-F238E27FC236}">
              <a16:creationId xmlns:a16="http://schemas.microsoft.com/office/drawing/2014/main" id="{FD11647B-D3A7-442F-AB64-FB1367BB1903}"/>
            </a:ext>
          </a:extLst>
        </xdr:cNvPr>
        <xdr:cNvSpPr/>
      </xdr:nvSpPr>
      <xdr:spPr>
        <a:xfrm>
          <a:off x="1154430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752</xdr:row>
      <xdr:rowOff>0</xdr:rowOff>
    </xdr:from>
    <xdr:to>
      <xdr:col>60</xdr:col>
      <xdr:colOff>83820</xdr:colOff>
      <xdr:row>752</xdr:row>
      <xdr:rowOff>114300</xdr:rowOff>
    </xdr:to>
    <xdr:sp macro="" textlink="">
      <xdr:nvSpPr>
        <xdr:cNvPr id="5817" name="Arrow: Down 5816">
          <a:extLst>
            <a:ext uri="{FF2B5EF4-FFF2-40B4-BE49-F238E27FC236}">
              <a16:creationId xmlns:a16="http://schemas.microsoft.com/office/drawing/2014/main" id="{71E278CF-E2A4-487C-B0FB-B181BC306FF1}"/>
            </a:ext>
          </a:extLst>
        </xdr:cNvPr>
        <xdr:cNvSpPr/>
      </xdr:nvSpPr>
      <xdr:spPr>
        <a:xfrm rot="10800000">
          <a:off x="1908048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752</xdr:row>
      <xdr:rowOff>0</xdr:rowOff>
    </xdr:from>
    <xdr:to>
      <xdr:col>5</xdr:col>
      <xdr:colOff>83820</xdr:colOff>
      <xdr:row>752</xdr:row>
      <xdr:rowOff>114300</xdr:rowOff>
    </xdr:to>
    <xdr:sp macro="" textlink="">
      <xdr:nvSpPr>
        <xdr:cNvPr id="5818" name="Arrow: Down 5817">
          <a:extLst>
            <a:ext uri="{FF2B5EF4-FFF2-40B4-BE49-F238E27FC236}">
              <a16:creationId xmlns:a16="http://schemas.microsoft.com/office/drawing/2014/main" id="{F139862C-2639-4FA9-924B-6283EAE44C5A}"/>
            </a:ext>
          </a:extLst>
        </xdr:cNvPr>
        <xdr:cNvSpPr/>
      </xdr:nvSpPr>
      <xdr:spPr>
        <a:xfrm>
          <a:off x="192786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752</xdr:row>
      <xdr:rowOff>0</xdr:rowOff>
    </xdr:from>
    <xdr:to>
      <xdr:col>11</xdr:col>
      <xdr:colOff>83820</xdr:colOff>
      <xdr:row>752</xdr:row>
      <xdr:rowOff>114300</xdr:rowOff>
    </xdr:to>
    <xdr:sp macro="" textlink="">
      <xdr:nvSpPr>
        <xdr:cNvPr id="5819" name="Arrow: Down 5818">
          <a:extLst>
            <a:ext uri="{FF2B5EF4-FFF2-40B4-BE49-F238E27FC236}">
              <a16:creationId xmlns:a16="http://schemas.microsoft.com/office/drawing/2014/main" id="{9382475A-C7E2-45DE-896A-C98D28BB0FE4}"/>
            </a:ext>
          </a:extLst>
        </xdr:cNvPr>
        <xdr:cNvSpPr/>
      </xdr:nvSpPr>
      <xdr:spPr>
        <a:xfrm>
          <a:off x="369570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752</xdr:row>
      <xdr:rowOff>0</xdr:rowOff>
    </xdr:from>
    <xdr:to>
      <xdr:col>24</xdr:col>
      <xdr:colOff>83820</xdr:colOff>
      <xdr:row>752</xdr:row>
      <xdr:rowOff>114300</xdr:rowOff>
    </xdr:to>
    <xdr:sp macro="" textlink="">
      <xdr:nvSpPr>
        <xdr:cNvPr id="5822" name="Arrow: Down 5821">
          <a:extLst>
            <a:ext uri="{FF2B5EF4-FFF2-40B4-BE49-F238E27FC236}">
              <a16:creationId xmlns:a16="http://schemas.microsoft.com/office/drawing/2014/main" id="{67C6EABD-A446-4E34-A534-BB17C7D68502}"/>
            </a:ext>
          </a:extLst>
        </xdr:cNvPr>
        <xdr:cNvSpPr/>
      </xdr:nvSpPr>
      <xdr:spPr>
        <a:xfrm>
          <a:off x="833628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753</xdr:row>
      <xdr:rowOff>0</xdr:rowOff>
    </xdr:from>
    <xdr:to>
      <xdr:col>64</xdr:col>
      <xdr:colOff>83820</xdr:colOff>
      <xdr:row>753</xdr:row>
      <xdr:rowOff>114300</xdr:rowOff>
    </xdr:to>
    <xdr:sp macro="" textlink="">
      <xdr:nvSpPr>
        <xdr:cNvPr id="5831" name="Arrow: Down 5830">
          <a:extLst>
            <a:ext uri="{FF2B5EF4-FFF2-40B4-BE49-F238E27FC236}">
              <a16:creationId xmlns:a16="http://schemas.microsoft.com/office/drawing/2014/main" id="{8436CC36-2E0D-45B4-9845-669A72EA78EF}"/>
            </a:ext>
          </a:extLst>
        </xdr:cNvPr>
        <xdr:cNvSpPr/>
      </xdr:nvSpPr>
      <xdr:spPr>
        <a:xfrm rot="10800000">
          <a:off x="19347180" y="137624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753</xdr:row>
      <xdr:rowOff>0</xdr:rowOff>
    </xdr:from>
    <xdr:to>
      <xdr:col>45</xdr:col>
      <xdr:colOff>83820</xdr:colOff>
      <xdr:row>753</xdr:row>
      <xdr:rowOff>114300</xdr:rowOff>
    </xdr:to>
    <xdr:sp macro="" textlink="">
      <xdr:nvSpPr>
        <xdr:cNvPr id="5832" name="Arrow: Down 5831">
          <a:extLst>
            <a:ext uri="{FF2B5EF4-FFF2-40B4-BE49-F238E27FC236}">
              <a16:creationId xmlns:a16="http://schemas.microsoft.com/office/drawing/2014/main" id="{F50355DF-2B91-4F3B-AF8F-2B606DF21CC3}"/>
            </a:ext>
          </a:extLst>
        </xdr:cNvPr>
        <xdr:cNvSpPr/>
      </xdr:nvSpPr>
      <xdr:spPr>
        <a:xfrm rot="10800000">
          <a:off x="13403580" y="137624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753</xdr:row>
      <xdr:rowOff>0</xdr:rowOff>
    </xdr:from>
    <xdr:to>
      <xdr:col>71</xdr:col>
      <xdr:colOff>83820</xdr:colOff>
      <xdr:row>753</xdr:row>
      <xdr:rowOff>114300</xdr:rowOff>
    </xdr:to>
    <xdr:sp macro="" textlink="">
      <xdr:nvSpPr>
        <xdr:cNvPr id="5833" name="Arrow: Down 5832">
          <a:extLst>
            <a:ext uri="{FF2B5EF4-FFF2-40B4-BE49-F238E27FC236}">
              <a16:creationId xmlns:a16="http://schemas.microsoft.com/office/drawing/2014/main" id="{C0BA1705-59F4-4F21-B8CF-976FC63C56D2}"/>
            </a:ext>
          </a:extLst>
        </xdr:cNvPr>
        <xdr:cNvSpPr/>
      </xdr:nvSpPr>
      <xdr:spPr>
        <a:xfrm>
          <a:off x="2196084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753</xdr:row>
      <xdr:rowOff>0</xdr:rowOff>
    </xdr:from>
    <xdr:to>
      <xdr:col>5</xdr:col>
      <xdr:colOff>83820</xdr:colOff>
      <xdr:row>753</xdr:row>
      <xdr:rowOff>114300</xdr:rowOff>
    </xdr:to>
    <xdr:sp macro="" textlink="">
      <xdr:nvSpPr>
        <xdr:cNvPr id="5836" name="Arrow: Down 5835">
          <a:extLst>
            <a:ext uri="{FF2B5EF4-FFF2-40B4-BE49-F238E27FC236}">
              <a16:creationId xmlns:a16="http://schemas.microsoft.com/office/drawing/2014/main" id="{402277D9-BA87-48AC-8C5D-1F049925467C}"/>
            </a:ext>
          </a:extLst>
        </xdr:cNvPr>
        <xdr:cNvSpPr/>
      </xdr:nvSpPr>
      <xdr:spPr>
        <a:xfrm>
          <a:off x="192786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753</xdr:row>
      <xdr:rowOff>0</xdr:rowOff>
    </xdr:from>
    <xdr:to>
      <xdr:col>11</xdr:col>
      <xdr:colOff>83820</xdr:colOff>
      <xdr:row>753</xdr:row>
      <xdr:rowOff>114300</xdr:rowOff>
    </xdr:to>
    <xdr:sp macro="" textlink="">
      <xdr:nvSpPr>
        <xdr:cNvPr id="5837" name="Arrow: Down 5836">
          <a:extLst>
            <a:ext uri="{FF2B5EF4-FFF2-40B4-BE49-F238E27FC236}">
              <a16:creationId xmlns:a16="http://schemas.microsoft.com/office/drawing/2014/main" id="{391109F3-B20A-40B2-8A47-BA871F1C6A33}"/>
            </a:ext>
          </a:extLst>
        </xdr:cNvPr>
        <xdr:cNvSpPr/>
      </xdr:nvSpPr>
      <xdr:spPr>
        <a:xfrm>
          <a:off x="369570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753</xdr:row>
      <xdr:rowOff>0</xdr:rowOff>
    </xdr:from>
    <xdr:to>
      <xdr:col>24</xdr:col>
      <xdr:colOff>83820</xdr:colOff>
      <xdr:row>753</xdr:row>
      <xdr:rowOff>114300</xdr:rowOff>
    </xdr:to>
    <xdr:sp macro="" textlink="">
      <xdr:nvSpPr>
        <xdr:cNvPr id="5838" name="Arrow: Down 5837">
          <a:extLst>
            <a:ext uri="{FF2B5EF4-FFF2-40B4-BE49-F238E27FC236}">
              <a16:creationId xmlns:a16="http://schemas.microsoft.com/office/drawing/2014/main" id="{4E016FDB-D25E-4C66-88DD-ECCBCE618B04}"/>
            </a:ext>
          </a:extLst>
        </xdr:cNvPr>
        <xdr:cNvSpPr/>
      </xdr:nvSpPr>
      <xdr:spPr>
        <a:xfrm>
          <a:off x="833628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753</xdr:row>
      <xdr:rowOff>0</xdr:rowOff>
    </xdr:from>
    <xdr:to>
      <xdr:col>39</xdr:col>
      <xdr:colOff>83820</xdr:colOff>
      <xdr:row>753</xdr:row>
      <xdr:rowOff>114300</xdr:rowOff>
    </xdr:to>
    <xdr:sp macro="" textlink="">
      <xdr:nvSpPr>
        <xdr:cNvPr id="5840" name="Arrow: Down 5839">
          <a:extLst>
            <a:ext uri="{FF2B5EF4-FFF2-40B4-BE49-F238E27FC236}">
              <a16:creationId xmlns:a16="http://schemas.microsoft.com/office/drawing/2014/main" id="{8122D2E2-7E5D-4458-819B-64855D729C1F}"/>
            </a:ext>
          </a:extLst>
        </xdr:cNvPr>
        <xdr:cNvSpPr/>
      </xdr:nvSpPr>
      <xdr:spPr>
        <a:xfrm rot="10800000">
          <a:off x="1154430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754</xdr:row>
      <xdr:rowOff>0</xdr:rowOff>
    </xdr:from>
    <xdr:to>
      <xdr:col>64</xdr:col>
      <xdr:colOff>83820</xdr:colOff>
      <xdr:row>754</xdr:row>
      <xdr:rowOff>114300</xdr:rowOff>
    </xdr:to>
    <xdr:sp macro="" textlink="">
      <xdr:nvSpPr>
        <xdr:cNvPr id="5849" name="Arrow: Down 5848">
          <a:extLst>
            <a:ext uri="{FF2B5EF4-FFF2-40B4-BE49-F238E27FC236}">
              <a16:creationId xmlns:a16="http://schemas.microsoft.com/office/drawing/2014/main" id="{C2538BCC-3E2A-4AA9-B1C7-7EA7727D7EA5}"/>
            </a:ext>
          </a:extLst>
        </xdr:cNvPr>
        <xdr:cNvSpPr/>
      </xdr:nvSpPr>
      <xdr:spPr>
        <a:xfrm rot="10800000">
          <a:off x="19347180" y="137807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754</xdr:row>
      <xdr:rowOff>0</xdr:rowOff>
    </xdr:from>
    <xdr:to>
      <xdr:col>45</xdr:col>
      <xdr:colOff>83820</xdr:colOff>
      <xdr:row>754</xdr:row>
      <xdr:rowOff>114300</xdr:rowOff>
    </xdr:to>
    <xdr:sp macro="" textlink="">
      <xdr:nvSpPr>
        <xdr:cNvPr id="5850" name="Arrow: Down 5849">
          <a:extLst>
            <a:ext uri="{FF2B5EF4-FFF2-40B4-BE49-F238E27FC236}">
              <a16:creationId xmlns:a16="http://schemas.microsoft.com/office/drawing/2014/main" id="{3428C5F1-0710-4E13-8821-755567E8D58B}"/>
            </a:ext>
          </a:extLst>
        </xdr:cNvPr>
        <xdr:cNvSpPr/>
      </xdr:nvSpPr>
      <xdr:spPr>
        <a:xfrm rot="10800000">
          <a:off x="1340358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754</xdr:row>
      <xdr:rowOff>0</xdr:rowOff>
    </xdr:from>
    <xdr:to>
      <xdr:col>71</xdr:col>
      <xdr:colOff>83820</xdr:colOff>
      <xdr:row>754</xdr:row>
      <xdr:rowOff>114300</xdr:rowOff>
    </xdr:to>
    <xdr:sp macro="" textlink="">
      <xdr:nvSpPr>
        <xdr:cNvPr id="5851" name="Arrow: Down 5850">
          <a:extLst>
            <a:ext uri="{FF2B5EF4-FFF2-40B4-BE49-F238E27FC236}">
              <a16:creationId xmlns:a16="http://schemas.microsoft.com/office/drawing/2014/main" id="{38839432-9E16-4CC7-8CC8-1BA9B495D3E5}"/>
            </a:ext>
          </a:extLst>
        </xdr:cNvPr>
        <xdr:cNvSpPr/>
      </xdr:nvSpPr>
      <xdr:spPr>
        <a:xfrm>
          <a:off x="21960840" y="1378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754</xdr:row>
      <xdr:rowOff>0</xdr:rowOff>
    </xdr:from>
    <xdr:to>
      <xdr:col>39</xdr:col>
      <xdr:colOff>83820</xdr:colOff>
      <xdr:row>754</xdr:row>
      <xdr:rowOff>114300</xdr:rowOff>
    </xdr:to>
    <xdr:sp macro="" textlink="">
      <xdr:nvSpPr>
        <xdr:cNvPr id="5856" name="Arrow: Down 5855">
          <a:extLst>
            <a:ext uri="{FF2B5EF4-FFF2-40B4-BE49-F238E27FC236}">
              <a16:creationId xmlns:a16="http://schemas.microsoft.com/office/drawing/2014/main" id="{2A70EAA5-3B13-48B1-90CE-C8DC1FA28C23}"/>
            </a:ext>
          </a:extLst>
        </xdr:cNvPr>
        <xdr:cNvSpPr/>
      </xdr:nvSpPr>
      <xdr:spPr>
        <a:xfrm rot="10800000">
          <a:off x="1154430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755</xdr:row>
      <xdr:rowOff>0</xdr:rowOff>
    </xdr:from>
    <xdr:to>
      <xdr:col>64</xdr:col>
      <xdr:colOff>83820</xdr:colOff>
      <xdr:row>755</xdr:row>
      <xdr:rowOff>114300</xdr:rowOff>
    </xdr:to>
    <xdr:sp macro="" textlink="">
      <xdr:nvSpPr>
        <xdr:cNvPr id="5865" name="Arrow: Down 5864">
          <a:extLst>
            <a:ext uri="{FF2B5EF4-FFF2-40B4-BE49-F238E27FC236}">
              <a16:creationId xmlns:a16="http://schemas.microsoft.com/office/drawing/2014/main" id="{0A105257-0596-4CFC-919B-058132689528}"/>
            </a:ext>
          </a:extLst>
        </xdr:cNvPr>
        <xdr:cNvSpPr/>
      </xdr:nvSpPr>
      <xdr:spPr>
        <a:xfrm rot="10800000">
          <a:off x="19347180" y="137990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755</xdr:row>
      <xdr:rowOff>0</xdr:rowOff>
    </xdr:from>
    <xdr:to>
      <xdr:col>45</xdr:col>
      <xdr:colOff>83820</xdr:colOff>
      <xdr:row>755</xdr:row>
      <xdr:rowOff>114300</xdr:rowOff>
    </xdr:to>
    <xdr:sp macro="" textlink="">
      <xdr:nvSpPr>
        <xdr:cNvPr id="5866" name="Arrow: Down 5865">
          <a:extLst>
            <a:ext uri="{FF2B5EF4-FFF2-40B4-BE49-F238E27FC236}">
              <a16:creationId xmlns:a16="http://schemas.microsoft.com/office/drawing/2014/main" id="{51A61FA9-4C5F-4C70-83F6-C0F9089A277D}"/>
            </a:ext>
          </a:extLst>
        </xdr:cNvPr>
        <xdr:cNvSpPr/>
      </xdr:nvSpPr>
      <xdr:spPr>
        <a:xfrm rot="10800000">
          <a:off x="13403580" y="1379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755</xdr:row>
      <xdr:rowOff>0</xdr:rowOff>
    </xdr:from>
    <xdr:to>
      <xdr:col>71</xdr:col>
      <xdr:colOff>83820</xdr:colOff>
      <xdr:row>755</xdr:row>
      <xdr:rowOff>114300</xdr:rowOff>
    </xdr:to>
    <xdr:sp macro="" textlink="">
      <xdr:nvSpPr>
        <xdr:cNvPr id="5867" name="Arrow: Down 5866">
          <a:extLst>
            <a:ext uri="{FF2B5EF4-FFF2-40B4-BE49-F238E27FC236}">
              <a16:creationId xmlns:a16="http://schemas.microsoft.com/office/drawing/2014/main" id="{35A0E4DF-1584-4E13-80E4-41B0BBDB1340}"/>
            </a:ext>
          </a:extLst>
        </xdr:cNvPr>
        <xdr:cNvSpPr/>
      </xdr:nvSpPr>
      <xdr:spPr>
        <a:xfrm>
          <a:off x="21960840" y="1379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755</xdr:row>
      <xdr:rowOff>0</xdr:rowOff>
    </xdr:from>
    <xdr:to>
      <xdr:col>60</xdr:col>
      <xdr:colOff>83820</xdr:colOff>
      <xdr:row>755</xdr:row>
      <xdr:rowOff>114300</xdr:rowOff>
    </xdr:to>
    <xdr:sp macro="" textlink="">
      <xdr:nvSpPr>
        <xdr:cNvPr id="5868" name="Arrow: Down 5867">
          <a:extLst>
            <a:ext uri="{FF2B5EF4-FFF2-40B4-BE49-F238E27FC236}">
              <a16:creationId xmlns:a16="http://schemas.microsoft.com/office/drawing/2014/main" id="{68FC5896-F8AD-4A50-89A3-46FB5AE28557}"/>
            </a:ext>
          </a:extLst>
        </xdr:cNvPr>
        <xdr:cNvSpPr/>
      </xdr:nvSpPr>
      <xdr:spPr>
        <a:xfrm rot="10800000">
          <a:off x="1908048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753</xdr:row>
      <xdr:rowOff>0</xdr:rowOff>
    </xdr:from>
    <xdr:to>
      <xdr:col>60</xdr:col>
      <xdr:colOff>83820</xdr:colOff>
      <xdr:row>753</xdr:row>
      <xdr:rowOff>114300</xdr:rowOff>
    </xdr:to>
    <xdr:sp macro="" textlink="">
      <xdr:nvSpPr>
        <xdr:cNvPr id="5874" name="Arrow: Down 5873">
          <a:extLst>
            <a:ext uri="{FF2B5EF4-FFF2-40B4-BE49-F238E27FC236}">
              <a16:creationId xmlns:a16="http://schemas.microsoft.com/office/drawing/2014/main" id="{0D584577-F6E2-47F2-A67F-7540F622A4F4}"/>
            </a:ext>
          </a:extLst>
        </xdr:cNvPr>
        <xdr:cNvSpPr/>
      </xdr:nvSpPr>
      <xdr:spPr>
        <a:xfrm>
          <a:off x="19080480" y="1378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754</xdr:row>
      <xdr:rowOff>0</xdr:rowOff>
    </xdr:from>
    <xdr:to>
      <xdr:col>60</xdr:col>
      <xdr:colOff>83820</xdr:colOff>
      <xdr:row>754</xdr:row>
      <xdr:rowOff>114300</xdr:rowOff>
    </xdr:to>
    <xdr:sp macro="" textlink="">
      <xdr:nvSpPr>
        <xdr:cNvPr id="5876" name="Arrow: Down 5875">
          <a:extLst>
            <a:ext uri="{FF2B5EF4-FFF2-40B4-BE49-F238E27FC236}">
              <a16:creationId xmlns:a16="http://schemas.microsoft.com/office/drawing/2014/main" id="{9CF28F43-1EE5-45A1-BA18-8E87718EFEDA}"/>
            </a:ext>
          </a:extLst>
        </xdr:cNvPr>
        <xdr:cNvSpPr/>
      </xdr:nvSpPr>
      <xdr:spPr>
        <a:xfrm>
          <a:off x="19080480" y="1379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755</xdr:row>
      <xdr:rowOff>0</xdr:rowOff>
    </xdr:from>
    <xdr:to>
      <xdr:col>39</xdr:col>
      <xdr:colOff>83820</xdr:colOff>
      <xdr:row>755</xdr:row>
      <xdr:rowOff>114300</xdr:rowOff>
    </xdr:to>
    <xdr:sp macro="" textlink="">
      <xdr:nvSpPr>
        <xdr:cNvPr id="5879" name="Arrow: Down 5878">
          <a:extLst>
            <a:ext uri="{FF2B5EF4-FFF2-40B4-BE49-F238E27FC236}">
              <a16:creationId xmlns:a16="http://schemas.microsoft.com/office/drawing/2014/main" id="{85F3B7A2-B84A-41AD-901B-132B47441C7F}"/>
            </a:ext>
          </a:extLst>
        </xdr:cNvPr>
        <xdr:cNvSpPr/>
      </xdr:nvSpPr>
      <xdr:spPr>
        <a:xfrm>
          <a:off x="115443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754</xdr:row>
      <xdr:rowOff>0</xdr:rowOff>
    </xdr:from>
    <xdr:to>
      <xdr:col>24</xdr:col>
      <xdr:colOff>83820</xdr:colOff>
      <xdr:row>754</xdr:row>
      <xdr:rowOff>114300</xdr:rowOff>
    </xdr:to>
    <xdr:sp macro="" textlink="">
      <xdr:nvSpPr>
        <xdr:cNvPr id="5881" name="Arrow: Down 5880">
          <a:extLst>
            <a:ext uri="{FF2B5EF4-FFF2-40B4-BE49-F238E27FC236}">
              <a16:creationId xmlns:a16="http://schemas.microsoft.com/office/drawing/2014/main" id="{C5FF967E-70C3-4F4B-B82C-34AE19B66012}"/>
            </a:ext>
          </a:extLst>
        </xdr:cNvPr>
        <xdr:cNvSpPr/>
      </xdr:nvSpPr>
      <xdr:spPr>
        <a:xfrm rot="10800000">
          <a:off x="833628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755</xdr:row>
      <xdr:rowOff>0</xdr:rowOff>
    </xdr:from>
    <xdr:to>
      <xdr:col>24</xdr:col>
      <xdr:colOff>83820</xdr:colOff>
      <xdr:row>755</xdr:row>
      <xdr:rowOff>114300</xdr:rowOff>
    </xdr:to>
    <xdr:sp macro="" textlink="">
      <xdr:nvSpPr>
        <xdr:cNvPr id="5883" name="Arrow: Down 5882">
          <a:extLst>
            <a:ext uri="{FF2B5EF4-FFF2-40B4-BE49-F238E27FC236}">
              <a16:creationId xmlns:a16="http://schemas.microsoft.com/office/drawing/2014/main" id="{9A65FB9D-6DC2-4FA4-A47F-9A9E54F75614}"/>
            </a:ext>
          </a:extLst>
        </xdr:cNvPr>
        <xdr:cNvSpPr/>
      </xdr:nvSpPr>
      <xdr:spPr>
        <a:xfrm rot="10800000">
          <a:off x="83362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754</xdr:row>
      <xdr:rowOff>0</xdr:rowOff>
    </xdr:from>
    <xdr:to>
      <xdr:col>5</xdr:col>
      <xdr:colOff>83820</xdr:colOff>
      <xdr:row>754</xdr:row>
      <xdr:rowOff>114300</xdr:rowOff>
    </xdr:to>
    <xdr:sp macro="" textlink="">
      <xdr:nvSpPr>
        <xdr:cNvPr id="5884" name="Arrow: Down 5883">
          <a:extLst>
            <a:ext uri="{FF2B5EF4-FFF2-40B4-BE49-F238E27FC236}">
              <a16:creationId xmlns:a16="http://schemas.microsoft.com/office/drawing/2014/main" id="{63F57CE6-D8F7-4DAB-AD7D-CB89A1A43375}"/>
            </a:ext>
          </a:extLst>
        </xdr:cNvPr>
        <xdr:cNvSpPr/>
      </xdr:nvSpPr>
      <xdr:spPr>
        <a:xfrm rot="10800000">
          <a:off x="192786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754</xdr:row>
      <xdr:rowOff>0</xdr:rowOff>
    </xdr:from>
    <xdr:to>
      <xdr:col>11</xdr:col>
      <xdr:colOff>83820</xdr:colOff>
      <xdr:row>754</xdr:row>
      <xdr:rowOff>114300</xdr:rowOff>
    </xdr:to>
    <xdr:sp macro="" textlink="">
      <xdr:nvSpPr>
        <xdr:cNvPr id="5886" name="Arrow: Down 5885">
          <a:extLst>
            <a:ext uri="{FF2B5EF4-FFF2-40B4-BE49-F238E27FC236}">
              <a16:creationId xmlns:a16="http://schemas.microsoft.com/office/drawing/2014/main" id="{C3BB7867-7CDA-45C4-B86A-CB2C1BA5B196}"/>
            </a:ext>
          </a:extLst>
        </xdr:cNvPr>
        <xdr:cNvSpPr/>
      </xdr:nvSpPr>
      <xdr:spPr>
        <a:xfrm rot="10800000">
          <a:off x="369570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755</xdr:row>
      <xdr:rowOff>0</xdr:rowOff>
    </xdr:from>
    <xdr:to>
      <xdr:col>5</xdr:col>
      <xdr:colOff>83820</xdr:colOff>
      <xdr:row>755</xdr:row>
      <xdr:rowOff>114300</xdr:rowOff>
    </xdr:to>
    <xdr:sp macro="" textlink="">
      <xdr:nvSpPr>
        <xdr:cNvPr id="5889" name="Arrow: Down 5888">
          <a:extLst>
            <a:ext uri="{FF2B5EF4-FFF2-40B4-BE49-F238E27FC236}">
              <a16:creationId xmlns:a16="http://schemas.microsoft.com/office/drawing/2014/main" id="{EFE3AE4A-5AE5-49F8-A1DC-EE067B97B77D}"/>
            </a:ext>
          </a:extLst>
        </xdr:cNvPr>
        <xdr:cNvSpPr/>
      </xdr:nvSpPr>
      <xdr:spPr>
        <a:xfrm rot="10800000">
          <a:off x="192786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755</xdr:row>
      <xdr:rowOff>0</xdr:rowOff>
    </xdr:from>
    <xdr:to>
      <xdr:col>11</xdr:col>
      <xdr:colOff>83820</xdr:colOff>
      <xdr:row>755</xdr:row>
      <xdr:rowOff>114300</xdr:rowOff>
    </xdr:to>
    <xdr:sp macro="" textlink="">
      <xdr:nvSpPr>
        <xdr:cNvPr id="5891" name="Arrow: Down 5890">
          <a:extLst>
            <a:ext uri="{FF2B5EF4-FFF2-40B4-BE49-F238E27FC236}">
              <a16:creationId xmlns:a16="http://schemas.microsoft.com/office/drawing/2014/main" id="{5F40BBB4-5B33-406E-9E50-98C5EFAEC2CA}"/>
            </a:ext>
          </a:extLst>
        </xdr:cNvPr>
        <xdr:cNvSpPr/>
      </xdr:nvSpPr>
      <xdr:spPr>
        <a:xfrm rot="10800000">
          <a:off x="36957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756</xdr:row>
      <xdr:rowOff>0</xdr:rowOff>
    </xdr:from>
    <xdr:to>
      <xdr:col>64</xdr:col>
      <xdr:colOff>83820</xdr:colOff>
      <xdr:row>756</xdr:row>
      <xdr:rowOff>114300</xdr:rowOff>
    </xdr:to>
    <xdr:sp macro="" textlink="">
      <xdr:nvSpPr>
        <xdr:cNvPr id="5900" name="Arrow: Down 5899">
          <a:extLst>
            <a:ext uri="{FF2B5EF4-FFF2-40B4-BE49-F238E27FC236}">
              <a16:creationId xmlns:a16="http://schemas.microsoft.com/office/drawing/2014/main" id="{2F940512-F282-42AD-B860-392030A602C8}"/>
            </a:ext>
          </a:extLst>
        </xdr:cNvPr>
        <xdr:cNvSpPr/>
      </xdr:nvSpPr>
      <xdr:spPr>
        <a:xfrm rot="10800000">
          <a:off x="19347180" y="138173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756</xdr:row>
      <xdr:rowOff>0</xdr:rowOff>
    </xdr:from>
    <xdr:to>
      <xdr:col>45</xdr:col>
      <xdr:colOff>83820</xdr:colOff>
      <xdr:row>756</xdr:row>
      <xdr:rowOff>114300</xdr:rowOff>
    </xdr:to>
    <xdr:sp macro="" textlink="">
      <xdr:nvSpPr>
        <xdr:cNvPr id="5901" name="Arrow: Down 5900">
          <a:extLst>
            <a:ext uri="{FF2B5EF4-FFF2-40B4-BE49-F238E27FC236}">
              <a16:creationId xmlns:a16="http://schemas.microsoft.com/office/drawing/2014/main" id="{AC4935FC-858B-47C8-A082-6D8FA4EB5749}"/>
            </a:ext>
          </a:extLst>
        </xdr:cNvPr>
        <xdr:cNvSpPr/>
      </xdr:nvSpPr>
      <xdr:spPr>
        <a:xfrm rot="10800000">
          <a:off x="13403580" y="138173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756</xdr:row>
      <xdr:rowOff>0</xdr:rowOff>
    </xdr:from>
    <xdr:to>
      <xdr:col>71</xdr:col>
      <xdr:colOff>83820</xdr:colOff>
      <xdr:row>756</xdr:row>
      <xdr:rowOff>114300</xdr:rowOff>
    </xdr:to>
    <xdr:sp macro="" textlink="">
      <xdr:nvSpPr>
        <xdr:cNvPr id="5902" name="Arrow: Down 5901">
          <a:extLst>
            <a:ext uri="{FF2B5EF4-FFF2-40B4-BE49-F238E27FC236}">
              <a16:creationId xmlns:a16="http://schemas.microsoft.com/office/drawing/2014/main" id="{E148E7FB-E875-4B94-AC00-75B70FDD92D1}"/>
            </a:ext>
          </a:extLst>
        </xdr:cNvPr>
        <xdr:cNvSpPr/>
      </xdr:nvSpPr>
      <xdr:spPr>
        <a:xfrm>
          <a:off x="21960840" y="13817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756</xdr:row>
      <xdr:rowOff>0</xdr:rowOff>
    </xdr:from>
    <xdr:to>
      <xdr:col>60</xdr:col>
      <xdr:colOff>83820</xdr:colOff>
      <xdr:row>756</xdr:row>
      <xdr:rowOff>114300</xdr:rowOff>
    </xdr:to>
    <xdr:sp macro="" textlink="">
      <xdr:nvSpPr>
        <xdr:cNvPr id="5903" name="Arrow: Down 5902">
          <a:extLst>
            <a:ext uri="{FF2B5EF4-FFF2-40B4-BE49-F238E27FC236}">
              <a16:creationId xmlns:a16="http://schemas.microsoft.com/office/drawing/2014/main" id="{9B5F6C5E-2477-4AA1-BDAB-2FD08F2C0204}"/>
            </a:ext>
          </a:extLst>
        </xdr:cNvPr>
        <xdr:cNvSpPr/>
      </xdr:nvSpPr>
      <xdr:spPr>
        <a:xfrm rot="10800000">
          <a:off x="190804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756</xdr:row>
      <xdr:rowOff>0</xdr:rowOff>
    </xdr:from>
    <xdr:to>
      <xdr:col>39</xdr:col>
      <xdr:colOff>83820</xdr:colOff>
      <xdr:row>756</xdr:row>
      <xdr:rowOff>114300</xdr:rowOff>
    </xdr:to>
    <xdr:sp macro="" textlink="">
      <xdr:nvSpPr>
        <xdr:cNvPr id="5904" name="Arrow: Down 5903">
          <a:extLst>
            <a:ext uri="{FF2B5EF4-FFF2-40B4-BE49-F238E27FC236}">
              <a16:creationId xmlns:a16="http://schemas.microsoft.com/office/drawing/2014/main" id="{337A1E0B-D67E-49E0-8A97-0B1B9F5B90F9}"/>
            </a:ext>
          </a:extLst>
        </xdr:cNvPr>
        <xdr:cNvSpPr/>
      </xdr:nvSpPr>
      <xdr:spPr>
        <a:xfrm>
          <a:off x="115443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756</xdr:row>
      <xdr:rowOff>0</xdr:rowOff>
    </xdr:from>
    <xdr:to>
      <xdr:col>24</xdr:col>
      <xdr:colOff>83820</xdr:colOff>
      <xdr:row>756</xdr:row>
      <xdr:rowOff>114300</xdr:rowOff>
    </xdr:to>
    <xdr:sp macro="" textlink="">
      <xdr:nvSpPr>
        <xdr:cNvPr id="5905" name="Arrow: Down 5904">
          <a:extLst>
            <a:ext uri="{FF2B5EF4-FFF2-40B4-BE49-F238E27FC236}">
              <a16:creationId xmlns:a16="http://schemas.microsoft.com/office/drawing/2014/main" id="{CB91F52F-A389-40E7-88B8-630B796D7095}"/>
            </a:ext>
          </a:extLst>
        </xdr:cNvPr>
        <xdr:cNvSpPr/>
      </xdr:nvSpPr>
      <xdr:spPr>
        <a:xfrm rot="10800000">
          <a:off x="83362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756</xdr:row>
      <xdr:rowOff>0</xdr:rowOff>
    </xdr:from>
    <xdr:to>
      <xdr:col>5</xdr:col>
      <xdr:colOff>83820</xdr:colOff>
      <xdr:row>756</xdr:row>
      <xdr:rowOff>114300</xdr:rowOff>
    </xdr:to>
    <xdr:sp macro="" textlink="">
      <xdr:nvSpPr>
        <xdr:cNvPr id="5906" name="Arrow: Down 5905">
          <a:extLst>
            <a:ext uri="{FF2B5EF4-FFF2-40B4-BE49-F238E27FC236}">
              <a16:creationId xmlns:a16="http://schemas.microsoft.com/office/drawing/2014/main" id="{D6269FEF-1269-40D0-8807-9ECCB5F9B38A}"/>
            </a:ext>
          </a:extLst>
        </xdr:cNvPr>
        <xdr:cNvSpPr/>
      </xdr:nvSpPr>
      <xdr:spPr>
        <a:xfrm rot="10800000">
          <a:off x="192786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756</xdr:row>
      <xdr:rowOff>0</xdr:rowOff>
    </xdr:from>
    <xdr:to>
      <xdr:col>11</xdr:col>
      <xdr:colOff>83820</xdr:colOff>
      <xdr:row>756</xdr:row>
      <xdr:rowOff>114300</xdr:rowOff>
    </xdr:to>
    <xdr:sp macro="" textlink="">
      <xdr:nvSpPr>
        <xdr:cNvPr id="5907" name="Arrow: Down 5906">
          <a:extLst>
            <a:ext uri="{FF2B5EF4-FFF2-40B4-BE49-F238E27FC236}">
              <a16:creationId xmlns:a16="http://schemas.microsoft.com/office/drawing/2014/main" id="{EF05F1BB-122E-4DFA-A3F0-AA6AC135E1D1}"/>
            </a:ext>
          </a:extLst>
        </xdr:cNvPr>
        <xdr:cNvSpPr/>
      </xdr:nvSpPr>
      <xdr:spPr>
        <a:xfrm rot="10800000">
          <a:off x="36957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757</xdr:row>
      <xdr:rowOff>0</xdr:rowOff>
    </xdr:from>
    <xdr:to>
      <xdr:col>64</xdr:col>
      <xdr:colOff>83820</xdr:colOff>
      <xdr:row>757</xdr:row>
      <xdr:rowOff>114300</xdr:rowOff>
    </xdr:to>
    <xdr:sp macro="" textlink="">
      <xdr:nvSpPr>
        <xdr:cNvPr id="5916" name="Arrow: Down 5915">
          <a:extLst>
            <a:ext uri="{FF2B5EF4-FFF2-40B4-BE49-F238E27FC236}">
              <a16:creationId xmlns:a16="http://schemas.microsoft.com/office/drawing/2014/main" id="{4ED4B2F1-388E-402A-8B14-17C8C5C00724}"/>
            </a:ext>
          </a:extLst>
        </xdr:cNvPr>
        <xdr:cNvSpPr/>
      </xdr:nvSpPr>
      <xdr:spPr>
        <a:xfrm rot="10800000">
          <a:off x="19347180" y="138356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757</xdr:row>
      <xdr:rowOff>0</xdr:rowOff>
    </xdr:from>
    <xdr:to>
      <xdr:col>45</xdr:col>
      <xdr:colOff>83820</xdr:colOff>
      <xdr:row>757</xdr:row>
      <xdr:rowOff>114300</xdr:rowOff>
    </xdr:to>
    <xdr:sp macro="" textlink="">
      <xdr:nvSpPr>
        <xdr:cNvPr id="5917" name="Arrow: Down 5916">
          <a:extLst>
            <a:ext uri="{FF2B5EF4-FFF2-40B4-BE49-F238E27FC236}">
              <a16:creationId xmlns:a16="http://schemas.microsoft.com/office/drawing/2014/main" id="{18203A0F-BFEF-4327-8C9F-E8A82D514970}"/>
            </a:ext>
          </a:extLst>
        </xdr:cNvPr>
        <xdr:cNvSpPr/>
      </xdr:nvSpPr>
      <xdr:spPr>
        <a:xfrm rot="10800000">
          <a:off x="13403580" y="1383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757</xdr:row>
      <xdr:rowOff>0</xdr:rowOff>
    </xdr:from>
    <xdr:to>
      <xdr:col>71</xdr:col>
      <xdr:colOff>83820</xdr:colOff>
      <xdr:row>757</xdr:row>
      <xdr:rowOff>114300</xdr:rowOff>
    </xdr:to>
    <xdr:sp macro="" textlink="">
      <xdr:nvSpPr>
        <xdr:cNvPr id="5918" name="Arrow: Down 5917">
          <a:extLst>
            <a:ext uri="{FF2B5EF4-FFF2-40B4-BE49-F238E27FC236}">
              <a16:creationId xmlns:a16="http://schemas.microsoft.com/office/drawing/2014/main" id="{1103404F-36CB-4BB7-98D1-688D97094910}"/>
            </a:ext>
          </a:extLst>
        </xdr:cNvPr>
        <xdr:cNvSpPr/>
      </xdr:nvSpPr>
      <xdr:spPr>
        <a:xfrm>
          <a:off x="21960840" y="1383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757</xdr:row>
      <xdr:rowOff>0</xdr:rowOff>
    </xdr:from>
    <xdr:to>
      <xdr:col>60</xdr:col>
      <xdr:colOff>83820</xdr:colOff>
      <xdr:row>757</xdr:row>
      <xdr:rowOff>114300</xdr:rowOff>
    </xdr:to>
    <xdr:sp macro="" textlink="">
      <xdr:nvSpPr>
        <xdr:cNvPr id="5919" name="Arrow: Down 5918">
          <a:extLst>
            <a:ext uri="{FF2B5EF4-FFF2-40B4-BE49-F238E27FC236}">
              <a16:creationId xmlns:a16="http://schemas.microsoft.com/office/drawing/2014/main" id="{D40CE55F-584F-4D01-ADA4-47DE10AED369}"/>
            </a:ext>
          </a:extLst>
        </xdr:cNvPr>
        <xdr:cNvSpPr/>
      </xdr:nvSpPr>
      <xdr:spPr>
        <a:xfrm rot="10800000">
          <a:off x="1908048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757</xdr:row>
      <xdr:rowOff>0</xdr:rowOff>
    </xdr:from>
    <xdr:to>
      <xdr:col>24</xdr:col>
      <xdr:colOff>83820</xdr:colOff>
      <xdr:row>757</xdr:row>
      <xdr:rowOff>114300</xdr:rowOff>
    </xdr:to>
    <xdr:sp macro="" textlink="">
      <xdr:nvSpPr>
        <xdr:cNvPr id="5921" name="Arrow: Down 5920">
          <a:extLst>
            <a:ext uri="{FF2B5EF4-FFF2-40B4-BE49-F238E27FC236}">
              <a16:creationId xmlns:a16="http://schemas.microsoft.com/office/drawing/2014/main" id="{DEB2EB8F-97F1-4A76-A953-1A366D9D1847}"/>
            </a:ext>
          </a:extLst>
        </xdr:cNvPr>
        <xdr:cNvSpPr/>
      </xdr:nvSpPr>
      <xdr:spPr>
        <a:xfrm rot="10800000">
          <a:off x="833628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757</xdr:row>
      <xdr:rowOff>0</xdr:rowOff>
    </xdr:from>
    <xdr:to>
      <xdr:col>5</xdr:col>
      <xdr:colOff>83820</xdr:colOff>
      <xdr:row>757</xdr:row>
      <xdr:rowOff>114300</xdr:rowOff>
    </xdr:to>
    <xdr:sp macro="" textlink="">
      <xdr:nvSpPr>
        <xdr:cNvPr id="5922" name="Arrow: Down 5921">
          <a:extLst>
            <a:ext uri="{FF2B5EF4-FFF2-40B4-BE49-F238E27FC236}">
              <a16:creationId xmlns:a16="http://schemas.microsoft.com/office/drawing/2014/main" id="{1EE6728F-FDD0-4271-9914-EAC4EE75D2A7}"/>
            </a:ext>
          </a:extLst>
        </xdr:cNvPr>
        <xdr:cNvSpPr/>
      </xdr:nvSpPr>
      <xdr:spPr>
        <a:xfrm rot="10800000">
          <a:off x="192786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757</xdr:row>
      <xdr:rowOff>0</xdr:rowOff>
    </xdr:from>
    <xdr:to>
      <xdr:col>11</xdr:col>
      <xdr:colOff>83820</xdr:colOff>
      <xdr:row>757</xdr:row>
      <xdr:rowOff>114300</xdr:rowOff>
    </xdr:to>
    <xdr:sp macro="" textlink="">
      <xdr:nvSpPr>
        <xdr:cNvPr id="5923" name="Arrow: Down 5922">
          <a:extLst>
            <a:ext uri="{FF2B5EF4-FFF2-40B4-BE49-F238E27FC236}">
              <a16:creationId xmlns:a16="http://schemas.microsoft.com/office/drawing/2014/main" id="{56734511-8B74-49A8-AA2C-D68781EDCF90}"/>
            </a:ext>
          </a:extLst>
        </xdr:cNvPr>
        <xdr:cNvSpPr/>
      </xdr:nvSpPr>
      <xdr:spPr>
        <a:xfrm rot="10800000">
          <a:off x="369570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757</xdr:row>
      <xdr:rowOff>0</xdr:rowOff>
    </xdr:from>
    <xdr:to>
      <xdr:col>39</xdr:col>
      <xdr:colOff>83820</xdr:colOff>
      <xdr:row>757</xdr:row>
      <xdr:rowOff>114300</xdr:rowOff>
    </xdr:to>
    <xdr:sp macro="" textlink="">
      <xdr:nvSpPr>
        <xdr:cNvPr id="5924" name="Arrow: Down 5923">
          <a:extLst>
            <a:ext uri="{FF2B5EF4-FFF2-40B4-BE49-F238E27FC236}">
              <a16:creationId xmlns:a16="http://schemas.microsoft.com/office/drawing/2014/main" id="{B155E37D-A6C7-4F71-B620-20A97756E461}"/>
            </a:ext>
          </a:extLst>
        </xdr:cNvPr>
        <xdr:cNvSpPr/>
      </xdr:nvSpPr>
      <xdr:spPr>
        <a:xfrm rot="10800000">
          <a:off x="11544300" y="138539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758</xdr:row>
      <xdr:rowOff>0</xdr:rowOff>
    </xdr:from>
    <xdr:to>
      <xdr:col>64</xdr:col>
      <xdr:colOff>83820</xdr:colOff>
      <xdr:row>758</xdr:row>
      <xdr:rowOff>114300</xdr:rowOff>
    </xdr:to>
    <xdr:sp macro="" textlink="">
      <xdr:nvSpPr>
        <xdr:cNvPr id="5925" name="Arrow: Down 5924">
          <a:extLst>
            <a:ext uri="{FF2B5EF4-FFF2-40B4-BE49-F238E27FC236}">
              <a16:creationId xmlns:a16="http://schemas.microsoft.com/office/drawing/2014/main" id="{4DA5E583-F3D6-48A0-AE31-8A42DD223052}"/>
            </a:ext>
          </a:extLst>
        </xdr:cNvPr>
        <xdr:cNvSpPr/>
      </xdr:nvSpPr>
      <xdr:spPr>
        <a:xfrm rot="10800000">
          <a:off x="19347180" y="138539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758</xdr:row>
      <xdr:rowOff>0</xdr:rowOff>
    </xdr:from>
    <xdr:to>
      <xdr:col>45</xdr:col>
      <xdr:colOff>83820</xdr:colOff>
      <xdr:row>758</xdr:row>
      <xdr:rowOff>114300</xdr:rowOff>
    </xdr:to>
    <xdr:sp macro="" textlink="">
      <xdr:nvSpPr>
        <xdr:cNvPr id="5926" name="Arrow: Down 5925">
          <a:extLst>
            <a:ext uri="{FF2B5EF4-FFF2-40B4-BE49-F238E27FC236}">
              <a16:creationId xmlns:a16="http://schemas.microsoft.com/office/drawing/2014/main" id="{0F4A6861-EE4A-40D3-994A-84B1938D1FB1}"/>
            </a:ext>
          </a:extLst>
        </xdr:cNvPr>
        <xdr:cNvSpPr/>
      </xdr:nvSpPr>
      <xdr:spPr>
        <a:xfrm rot="10800000">
          <a:off x="13403580" y="138539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758</xdr:row>
      <xdr:rowOff>0</xdr:rowOff>
    </xdr:from>
    <xdr:to>
      <xdr:col>71</xdr:col>
      <xdr:colOff>83820</xdr:colOff>
      <xdr:row>758</xdr:row>
      <xdr:rowOff>114300</xdr:rowOff>
    </xdr:to>
    <xdr:sp macro="" textlink="">
      <xdr:nvSpPr>
        <xdr:cNvPr id="5927" name="Arrow: Down 5926">
          <a:extLst>
            <a:ext uri="{FF2B5EF4-FFF2-40B4-BE49-F238E27FC236}">
              <a16:creationId xmlns:a16="http://schemas.microsoft.com/office/drawing/2014/main" id="{ABC68B54-BA2D-4CEC-8165-9F3FB98CCF0A}"/>
            </a:ext>
          </a:extLst>
        </xdr:cNvPr>
        <xdr:cNvSpPr/>
      </xdr:nvSpPr>
      <xdr:spPr>
        <a:xfrm>
          <a:off x="21960840" y="1385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758</xdr:row>
      <xdr:rowOff>0</xdr:rowOff>
    </xdr:from>
    <xdr:to>
      <xdr:col>5</xdr:col>
      <xdr:colOff>83820</xdr:colOff>
      <xdr:row>758</xdr:row>
      <xdr:rowOff>114300</xdr:rowOff>
    </xdr:to>
    <xdr:sp macro="" textlink="">
      <xdr:nvSpPr>
        <xdr:cNvPr id="5930" name="Arrow: Down 5929">
          <a:extLst>
            <a:ext uri="{FF2B5EF4-FFF2-40B4-BE49-F238E27FC236}">
              <a16:creationId xmlns:a16="http://schemas.microsoft.com/office/drawing/2014/main" id="{087D8C80-8557-4B90-B7C0-069FED68777E}"/>
            </a:ext>
          </a:extLst>
        </xdr:cNvPr>
        <xdr:cNvSpPr/>
      </xdr:nvSpPr>
      <xdr:spPr>
        <a:xfrm rot="10800000">
          <a:off x="1927860" y="1385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758</xdr:row>
      <xdr:rowOff>0</xdr:rowOff>
    </xdr:from>
    <xdr:to>
      <xdr:col>11</xdr:col>
      <xdr:colOff>83820</xdr:colOff>
      <xdr:row>758</xdr:row>
      <xdr:rowOff>114300</xdr:rowOff>
    </xdr:to>
    <xdr:sp macro="" textlink="">
      <xdr:nvSpPr>
        <xdr:cNvPr id="5931" name="Arrow: Down 5930">
          <a:extLst>
            <a:ext uri="{FF2B5EF4-FFF2-40B4-BE49-F238E27FC236}">
              <a16:creationId xmlns:a16="http://schemas.microsoft.com/office/drawing/2014/main" id="{7F386562-D3AE-442E-86F9-3C0256E47DC1}"/>
            </a:ext>
          </a:extLst>
        </xdr:cNvPr>
        <xdr:cNvSpPr/>
      </xdr:nvSpPr>
      <xdr:spPr>
        <a:xfrm rot="10800000">
          <a:off x="3695700" y="1385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758</xdr:row>
      <xdr:rowOff>0</xdr:rowOff>
    </xdr:from>
    <xdr:to>
      <xdr:col>24</xdr:col>
      <xdr:colOff>83820</xdr:colOff>
      <xdr:row>758</xdr:row>
      <xdr:rowOff>114300</xdr:rowOff>
    </xdr:to>
    <xdr:sp macro="" textlink="">
      <xdr:nvSpPr>
        <xdr:cNvPr id="5934" name="Arrow: Down 5933">
          <a:extLst>
            <a:ext uri="{FF2B5EF4-FFF2-40B4-BE49-F238E27FC236}">
              <a16:creationId xmlns:a16="http://schemas.microsoft.com/office/drawing/2014/main" id="{80E02421-00CA-4A79-906C-49EB68322EA5}"/>
            </a:ext>
          </a:extLst>
        </xdr:cNvPr>
        <xdr:cNvSpPr/>
      </xdr:nvSpPr>
      <xdr:spPr>
        <a:xfrm>
          <a:off x="83362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758</xdr:row>
      <xdr:rowOff>0</xdr:rowOff>
    </xdr:from>
    <xdr:to>
      <xdr:col>39</xdr:col>
      <xdr:colOff>83820</xdr:colOff>
      <xdr:row>758</xdr:row>
      <xdr:rowOff>114300</xdr:rowOff>
    </xdr:to>
    <xdr:sp macro="" textlink="">
      <xdr:nvSpPr>
        <xdr:cNvPr id="5936" name="Arrow: Down 5935">
          <a:extLst>
            <a:ext uri="{FF2B5EF4-FFF2-40B4-BE49-F238E27FC236}">
              <a16:creationId xmlns:a16="http://schemas.microsoft.com/office/drawing/2014/main" id="{3EAC254B-635B-4C03-90C3-186AB52ED8B2}"/>
            </a:ext>
          </a:extLst>
        </xdr:cNvPr>
        <xdr:cNvSpPr/>
      </xdr:nvSpPr>
      <xdr:spPr>
        <a:xfrm>
          <a:off x="11544300" y="1387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758</xdr:row>
      <xdr:rowOff>0</xdr:rowOff>
    </xdr:from>
    <xdr:to>
      <xdr:col>60</xdr:col>
      <xdr:colOff>83820</xdr:colOff>
      <xdr:row>758</xdr:row>
      <xdr:rowOff>114300</xdr:rowOff>
    </xdr:to>
    <xdr:sp macro="" textlink="">
      <xdr:nvSpPr>
        <xdr:cNvPr id="5938" name="Arrow: Down 5937">
          <a:extLst>
            <a:ext uri="{FF2B5EF4-FFF2-40B4-BE49-F238E27FC236}">
              <a16:creationId xmlns:a16="http://schemas.microsoft.com/office/drawing/2014/main" id="{C7DCABF3-1AF3-430E-8E25-3C8942099F6C}"/>
            </a:ext>
          </a:extLst>
        </xdr:cNvPr>
        <xdr:cNvSpPr/>
      </xdr:nvSpPr>
      <xdr:spPr>
        <a:xfrm>
          <a:off x="190804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759</xdr:row>
      <xdr:rowOff>0</xdr:rowOff>
    </xdr:from>
    <xdr:to>
      <xdr:col>64</xdr:col>
      <xdr:colOff>83820</xdr:colOff>
      <xdr:row>759</xdr:row>
      <xdr:rowOff>114300</xdr:rowOff>
    </xdr:to>
    <xdr:sp macro="" textlink="">
      <xdr:nvSpPr>
        <xdr:cNvPr id="5947" name="Arrow: Down 5946">
          <a:extLst>
            <a:ext uri="{FF2B5EF4-FFF2-40B4-BE49-F238E27FC236}">
              <a16:creationId xmlns:a16="http://schemas.microsoft.com/office/drawing/2014/main" id="{E6393A2E-CAD7-4F25-8B7C-B114E32E1F35}"/>
            </a:ext>
          </a:extLst>
        </xdr:cNvPr>
        <xdr:cNvSpPr/>
      </xdr:nvSpPr>
      <xdr:spPr>
        <a:xfrm rot="10800000">
          <a:off x="19347180" y="138722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759</xdr:row>
      <xdr:rowOff>0</xdr:rowOff>
    </xdr:from>
    <xdr:to>
      <xdr:col>45</xdr:col>
      <xdr:colOff>83820</xdr:colOff>
      <xdr:row>759</xdr:row>
      <xdr:rowOff>114300</xdr:rowOff>
    </xdr:to>
    <xdr:sp macro="" textlink="">
      <xdr:nvSpPr>
        <xdr:cNvPr id="5948" name="Arrow: Down 5947">
          <a:extLst>
            <a:ext uri="{FF2B5EF4-FFF2-40B4-BE49-F238E27FC236}">
              <a16:creationId xmlns:a16="http://schemas.microsoft.com/office/drawing/2014/main" id="{27EFB22A-6589-4F1F-A139-669DA43FD473}"/>
            </a:ext>
          </a:extLst>
        </xdr:cNvPr>
        <xdr:cNvSpPr/>
      </xdr:nvSpPr>
      <xdr:spPr>
        <a:xfrm rot="10800000">
          <a:off x="13403580" y="138722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759</xdr:row>
      <xdr:rowOff>0</xdr:rowOff>
    </xdr:from>
    <xdr:to>
      <xdr:col>71</xdr:col>
      <xdr:colOff>83820</xdr:colOff>
      <xdr:row>759</xdr:row>
      <xdr:rowOff>114300</xdr:rowOff>
    </xdr:to>
    <xdr:sp macro="" textlink="">
      <xdr:nvSpPr>
        <xdr:cNvPr id="5949" name="Arrow: Down 5948">
          <a:extLst>
            <a:ext uri="{FF2B5EF4-FFF2-40B4-BE49-F238E27FC236}">
              <a16:creationId xmlns:a16="http://schemas.microsoft.com/office/drawing/2014/main" id="{F4F31805-3AE5-4992-83A6-8E20A209F3D9}"/>
            </a:ext>
          </a:extLst>
        </xdr:cNvPr>
        <xdr:cNvSpPr/>
      </xdr:nvSpPr>
      <xdr:spPr>
        <a:xfrm>
          <a:off x="2196084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759</xdr:row>
      <xdr:rowOff>0</xdr:rowOff>
    </xdr:from>
    <xdr:to>
      <xdr:col>24</xdr:col>
      <xdr:colOff>83820</xdr:colOff>
      <xdr:row>759</xdr:row>
      <xdr:rowOff>114300</xdr:rowOff>
    </xdr:to>
    <xdr:sp macro="" textlink="">
      <xdr:nvSpPr>
        <xdr:cNvPr id="5952" name="Arrow: Down 5951">
          <a:extLst>
            <a:ext uri="{FF2B5EF4-FFF2-40B4-BE49-F238E27FC236}">
              <a16:creationId xmlns:a16="http://schemas.microsoft.com/office/drawing/2014/main" id="{AB32B470-184A-4AFE-A21E-0D71BEDD1327}"/>
            </a:ext>
          </a:extLst>
        </xdr:cNvPr>
        <xdr:cNvSpPr/>
      </xdr:nvSpPr>
      <xdr:spPr>
        <a:xfrm>
          <a:off x="83362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759</xdr:row>
      <xdr:rowOff>0</xdr:rowOff>
    </xdr:from>
    <xdr:to>
      <xdr:col>39</xdr:col>
      <xdr:colOff>83820</xdr:colOff>
      <xdr:row>759</xdr:row>
      <xdr:rowOff>114300</xdr:rowOff>
    </xdr:to>
    <xdr:sp macro="" textlink="">
      <xdr:nvSpPr>
        <xdr:cNvPr id="5956" name="Arrow: Down 5955">
          <a:extLst>
            <a:ext uri="{FF2B5EF4-FFF2-40B4-BE49-F238E27FC236}">
              <a16:creationId xmlns:a16="http://schemas.microsoft.com/office/drawing/2014/main" id="{9380F99A-AEE6-4518-B730-2D60573B96FF}"/>
            </a:ext>
          </a:extLst>
        </xdr:cNvPr>
        <xdr:cNvSpPr/>
      </xdr:nvSpPr>
      <xdr:spPr>
        <a:xfrm rot="10800000">
          <a:off x="1154430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759</xdr:row>
      <xdr:rowOff>0</xdr:rowOff>
    </xdr:from>
    <xdr:to>
      <xdr:col>11</xdr:col>
      <xdr:colOff>83820</xdr:colOff>
      <xdr:row>759</xdr:row>
      <xdr:rowOff>114300</xdr:rowOff>
    </xdr:to>
    <xdr:sp macro="" textlink="">
      <xdr:nvSpPr>
        <xdr:cNvPr id="5958" name="Arrow: Down 5957">
          <a:extLst>
            <a:ext uri="{FF2B5EF4-FFF2-40B4-BE49-F238E27FC236}">
              <a16:creationId xmlns:a16="http://schemas.microsoft.com/office/drawing/2014/main" id="{778C05BE-0620-42C1-8665-6A1FB8B02575}"/>
            </a:ext>
          </a:extLst>
        </xdr:cNvPr>
        <xdr:cNvSpPr/>
      </xdr:nvSpPr>
      <xdr:spPr>
        <a:xfrm>
          <a:off x="369570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759</xdr:row>
      <xdr:rowOff>0</xdr:rowOff>
    </xdr:from>
    <xdr:to>
      <xdr:col>5</xdr:col>
      <xdr:colOff>83820</xdr:colOff>
      <xdr:row>759</xdr:row>
      <xdr:rowOff>114300</xdr:rowOff>
    </xdr:to>
    <xdr:sp macro="" textlink="">
      <xdr:nvSpPr>
        <xdr:cNvPr id="5960" name="Arrow: Down 5959">
          <a:extLst>
            <a:ext uri="{FF2B5EF4-FFF2-40B4-BE49-F238E27FC236}">
              <a16:creationId xmlns:a16="http://schemas.microsoft.com/office/drawing/2014/main" id="{339701A2-8786-4A4A-913E-CD0EBA386C37}"/>
            </a:ext>
          </a:extLst>
        </xdr:cNvPr>
        <xdr:cNvSpPr/>
      </xdr:nvSpPr>
      <xdr:spPr>
        <a:xfrm>
          <a:off x="192786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759</xdr:row>
      <xdr:rowOff>0</xdr:rowOff>
    </xdr:from>
    <xdr:to>
      <xdr:col>60</xdr:col>
      <xdr:colOff>83820</xdr:colOff>
      <xdr:row>759</xdr:row>
      <xdr:rowOff>114300</xdr:rowOff>
    </xdr:to>
    <xdr:sp macro="" textlink="">
      <xdr:nvSpPr>
        <xdr:cNvPr id="5962" name="Arrow: Down 5961">
          <a:extLst>
            <a:ext uri="{FF2B5EF4-FFF2-40B4-BE49-F238E27FC236}">
              <a16:creationId xmlns:a16="http://schemas.microsoft.com/office/drawing/2014/main" id="{60DF836E-4A9A-41CC-80D0-136765479428}"/>
            </a:ext>
          </a:extLst>
        </xdr:cNvPr>
        <xdr:cNvSpPr/>
      </xdr:nvSpPr>
      <xdr:spPr>
        <a:xfrm rot="10800000">
          <a:off x="19080480" y="1389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760</xdr:row>
      <xdr:rowOff>0</xdr:rowOff>
    </xdr:from>
    <xdr:to>
      <xdr:col>64</xdr:col>
      <xdr:colOff>83820</xdr:colOff>
      <xdr:row>760</xdr:row>
      <xdr:rowOff>114300</xdr:rowOff>
    </xdr:to>
    <xdr:sp macro="" textlink="">
      <xdr:nvSpPr>
        <xdr:cNvPr id="5963" name="Arrow: Down 5962">
          <a:extLst>
            <a:ext uri="{FF2B5EF4-FFF2-40B4-BE49-F238E27FC236}">
              <a16:creationId xmlns:a16="http://schemas.microsoft.com/office/drawing/2014/main" id="{47CBDCEB-220F-459F-BD8B-6379E3B80E99}"/>
            </a:ext>
          </a:extLst>
        </xdr:cNvPr>
        <xdr:cNvSpPr/>
      </xdr:nvSpPr>
      <xdr:spPr>
        <a:xfrm rot="10800000">
          <a:off x="19347180" y="138904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760</xdr:row>
      <xdr:rowOff>0</xdr:rowOff>
    </xdr:from>
    <xdr:to>
      <xdr:col>45</xdr:col>
      <xdr:colOff>83820</xdr:colOff>
      <xdr:row>760</xdr:row>
      <xdr:rowOff>114300</xdr:rowOff>
    </xdr:to>
    <xdr:sp macro="" textlink="">
      <xdr:nvSpPr>
        <xdr:cNvPr id="5964" name="Arrow: Down 5963">
          <a:extLst>
            <a:ext uri="{FF2B5EF4-FFF2-40B4-BE49-F238E27FC236}">
              <a16:creationId xmlns:a16="http://schemas.microsoft.com/office/drawing/2014/main" id="{5E555B44-08D0-45A8-8A4A-565F939657E0}"/>
            </a:ext>
          </a:extLst>
        </xdr:cNvPr>
        <xdr:cNvSpPr/>
      </xdr:nvSpPr>
      <xdr:spPr>
        <a:xfrm rot="10800000">
          <a:off x="1340358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760</xdr:row>
      <xdr:rowOff>0</xdr:rowOff>
    </xdr:from>
    <xdr:to>
      <xdr:col>71</xdr:col>
      <xdr:colOff>83820</xdr:colOff>
      <xdr:row>760</xdr:row>
      <xdr:rowOff>114300</xdr:rowOff>
    </xdr:to>
    <xdr:sp macro="" textlink="">
      <xdr:nvSpPr>
        <xdr:cNvPr id="5965" name="Arrow: Down 5964">
          <a:extLst>
            <a:ext uri="{FF2B5EF4-FFF2-40B4-BE49-F238E27FC236}">
              <a16:creationId xmlns:a16="http://schemas.microsoft.com/office/drawing/2014/main" id="{E8A849BA-5E91-436B-AC8D-763E677C93AE}"/>
            </a:ext>
          </a:extLst>
        </xdr:cNvPr>
        <xdr:cNvSpPr/>
      </xdr:nvSpPr>
      <xdr:spPr>
        <a:xfrm>
          <a:off x="2196084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760</xdr:row>
      <xdr:rowOff>0</xdr:rowOff>
    </xdr:from>
    <xdr:to>
      <xdr:col>24</xdr:col>
      <xdr:colOff>83820</xdr:colOff>
      <xdr:row>760</xdr:row>
      <xdr:rowOff>114300</xdr:rowOff>
    </xdr:to>
    <xdr:sp macro="" textlink="">
      <xdr:nvSpPr>
        <xdr:cNvPr id="5966" name="Arrow: Down 5965">
          <a:extLst>
            <a:ext uri="{FF2B5EF4-FFF2-40B4-BE49-F238E27FC236}">
              <a16:creationId xmlns:a16="http://schemas.microsoft.com/office/drawing/2014/main" id="{384422F4-AE99-4CC1-A058-1390811892B5}"/>
            </a:ext>
          </a:extLst>
        </xdr:cNvPr>
        <xdr:cNvSpPr/>
      </xdr:nvSpPr>
      <xdr:spPr>
        <a:xfrm>
          <a:off x="833628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760</xdr:row>
      <xdr:rowOff>0</xdr:rowOff>
    </xdr:from>
    <xdr:to>
      <xdr:col>39</xdr:col>
      <xdr:colOff>83820</xdr:colOff>
      <xdr:row>760</xdr:row>
      <xdr:rowOff>114300</xdr:rowOff>
    </xdr:to>
    <xdr:sp macro="" textlink="">
      <xdr:nvSpPr>
        <xdr:cNvPr id="5967" name="Arrow: Down 5966">
          <a:extLst>
            <a:ext uri="{FF2B5EF4-FFF2-40B4-BE49-F238E27FC236}">
              <a16:creationId xmlns:a16="http://schemas.microsoft.com/office/drawing/2014/main" id="{61000687-3042-469F-8E25-D69AC1C9DF00}"/>
            </a:ext>
          </a:extLst>
        </xdr:cNvPr>
        <xdr:cNvSpPr/>
      </xdr:nvSpPr>
      <xdr:spPr>
        <a:xfrm rot="10800000">
          <a:off x="1154430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760</xdr:row>
      <xdr:rowOff>0</xdr:rowOff>
    </xdr:from>
    <xdr:to>
      <xdr:col>11</xdr:col>
      <xdr:colOff>83820</xdr:colOff>
      <xdr:row>760</xdr:row>
      <xdr:rowOff>114300</xdr:rowOff>
    </xdr:to>
    <xdr:sp macro="" textlink="">
      <xdr:nvSpPr>
        <xdr:cNvPr id="5968" name="Arrow: Down 5967">
          <a:extLst>
            <a:ext uri="{FF2B5EF4-FFF2-40B4-BE49-F238E27FC236}">
              <a16:creationId xmlns:a16="http://schemas.microsoft.com/office/drawing/2014/main" id="{56E6FAB6-DE14-4FAE-A954-3547ED5C29BE}"/>
            </a:ext>
          </a:extLst>
        </xdr:cNvPr>
        <xdr:cNvSpPr/>
      </xdr:nvSpPr>
      <xdr:spPr>
        <a:xfrm>
          <a:off x="369570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760</xdr:row>
      <xdr:rowOff>0</xdr:rowOff>
    </xdr:from>
    <xdr:to>
      <xdr:col>5</xdr:col>
      <xdr:colOff>83820</xdr:colOff>
      <xdr:row>760</xdr:row>
      <xdr:rowOff>114300</xdr:rowOff>
    </xdr:to>
    <xdr:sp macro="" textlink="">
      <xdr:nvSpPr>
        <xdr:cNvPr id="5969" name="Arrow: Down 5968">
          <a:extLst>
            <a:ext uri="{FF2B5EF4-FFF2-40B4-BE49-F238E27FC236}">
              <a16:creationId xmlns:a16="http://schemas.microsoft.com/office/drawing/2014/main" id="{C3CD8E6B-461F-4E74-BDF0-29E673A5728B}"/>
            </a:ext>
          </a:extLst>
        </xdr:cNvPr>
        <xdr:cNvSpPr/>
      </xdr:nvSpPr>
      <xdr:spPr>
        <a:xfrm>
          <a:off x="192786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760</xdr:row>
      <xdr:rowOff>0</xdr:rowOff>
    </xdr:from>
    <xdr:to>
      <xdr:col>60</xdr:col>
      <xdr:colOff>83820</xdr:colOff>
      <xdr:row>760</xdr:row>
      <xdr:rowOff>114300</xdr:rowOff>
    </xdr:to>
    <xdr:sp macro="" textlink="">
      <xdr:nvSpPr>
        <xdr:cNvPr id="5971" name="Arrow: Down 5970">
          <a:extLst>
            <a:ext uri="{FF2B5EF4-FFF2-40B4-BE49-F238E27FC236}">
              <a16:creationId xmlns:a16="http://schemas.microsoft.com/office/drawing/2014/main" id="{915672D3-A02B-4D90-954C-69B4E8F11641}"/>
            </a:ext>
          </a:extLst>
        </xdr:cNvPr>
        <xdr:cNvSpPr/>
      </xdr:nvSpPr>
      <xdr:spPr>
        <a:xfrm>
          <a:off x="1908048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761</xdr:row>
      <xdr:rowOff>0</xdr:rowOff>
    </xdr:from>
    <xdr:to>
      <xdr:col>64</xdr:col>
      <xdr:colOff>83820</xdr:colOff>
      <xdr:row>761</xdr:row>
      <xdr:rowOff>114300</xdr:rowOff>
    </xdr:to>
    <xdr:sp macro="" textlink="">
      <xdr:nvSpPr>
        <xdr:cNvPr id="5539" name="Arrow: Down 5538">
          <a:extLst>
            <a:ext uri="{FF2B5EF4-FFF2-40B4-BE49-F238E27FC236}">
              <a16:creationId xmlns:a16="http://schemas.microsoft.com/office/drawing/2014/main" id="{8158A105-84BE-41B6-9D95-02CFB64A2543}"/>
            </a:ext>
          </a:extLst>
        </xdr:cNvPr>
        <xdr:cNvSpPr/>
      </xdr:nvSpPr>
      <xdr:spPr>
        <a:xfrm rot="10800000">
          <a:off x="19347180" y="139087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761</xdr:row>
      <xdr:rowOff>0</xdr:rowOff>
    </xdr:from>
    <xdr:to>
      <xdr:col>45</xdr:col>
      <xdr:colOff>83820</xdr:colOff>
      <xdr:row>761</xdr:row>
      <xdr:rowOff>114300</xdr:rowOff>
    </xdr:to>
    <xdr:sp macro="" textlink="">
      <xdr:nvSpPr>
        <xdr:cNvPr id="5540" name="Arrow: Down 5539">
          <a:extLst>
            <a:ext uri="{FF2B5EF4-FFF2-40B4-BE49-F238E27FC236}">
              <a16:creationId xmlns:a16="http://schemas.microsoft.com/office/drawing/2014/main" id="{62A607F1-86E0-4A9B-881F-08AA0884895D}"/>
            </a:ext>
          </a:extLst>
        </xdr:cNvPr>
        <xdr:cNvSpPr/>
      </xdr:nvSpPr>
      <xdr:spPr>
        <a:xfrm rot="10800000">
          <a:off x="13403580" y="139087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761</xdr:row>
      <xdr:rowOff>0</xdr:rowOff>
    </xdr:from>
    <xdr:to>
      <xdr:col>71</xdr:col>
      <xdr:colOff>83820</xdr:colOff>
      <xdr:row>761</xdr:row>
      <xdr:rowOff>114300</xdr:rowOff>
    </xdr:to>
    <xdr:sp macro="" textlink="">
      <xdr:nvSpPr>
        <xdr:cNvPr id="5541" name="Arrow: Down 5540">
          <a:extLst>
            <a:ext uri="{FF2B5EF4-FFF2-40B4-BE49-F238E27FC236}">
              <a16:creationId xmlns:a16="http://schemas.microsoft.com/office/drawing/2014/main" id="{A0C4A34A-42A4-4369-A0FB-CFC530FC33F4}"/>
            </a:ext>
          </a:extLst>
        </xdr:cNvPr>
        <xdr:cNvSpPr/>
      </xdr:nvSpPr>
      <xdr:spPr>
        <a:xfrm>
          <a:off x="2196084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761</xdr:row>
      <xdr:rowOff>0</xdr:rowOff>
    </xdr:from>
    <xdr:to>
      <xdr:col>60</xdr:col>
      <xdr:colOff>83820</xdr:colOff>
      <xdr:row>761</xdr:row>
      <xdr:rowOff>114300</xdr:rowOff>
    </xdr:to>
    <xdr:sp macro="" textlink="">
      <xdr:nvSpPr>
        <xdr:cNvPr id="5575" name="Arrow: Down 5574">
          <a:extLst>
            <a:ext uri="{FF2B5EF4-FFF2-40B4-BE49-F238E27FC236}">
              <a16:creationId xmlns:a16="http://schemas.microsoft.com/office/drawing/2014/main" id="{DF073EA5-76F5-46B4-A65F-3F852159EEE5}"/>
            </a:ext>
          </a:extLst>
        </xdr:cNvPr>
        <xdr:cNvSpPr/>
      </xdr:nvSpPr>
      <xdr:spPr>
        <a:xfrm>
          <a:off x="1908048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761</xdr:row>
      <xdr:rowOff>0</xdr:rowOff>
    </xdr:from>
    <xdr:to>
      <xdr:col>5</xdr:col>
      <xdr:colOff>83820</xdr:colOff>
      <xdr:row>761</xdr:row>
      <xdr:rowOff>114300</xdr:rowOff>
    </xdr:to>
    <xdr:sp macro="" textlink="">
      <xdr:nvSpPr>
        <xdr:cNvPr id="5579" name="Arrow: Down 5578">
          <a:extLst>
            <a:ext uri="{FF2B5EF4-FFF2-40B4-BE49-F238E27FC236}">
              <a16:creationId xmlns:a16="http://schemas.microsoft.com/office/drawing/2014/main" id="{9D23C283-16F3-4FEE-9E9D-82A183C96E5B}"/>
            </a:ext>
          </a:extLst>
        </xdr:cNvPr>
        <xdr:cNvSpPr/>
      </xdr:nvSpPr>
      <xdr:spPr>
        <a:xfrm rot="10800000">
          <a:off x="192786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761</xdr:row>
      <xdr:rowOff>0</xdr:rowOff>
    </xdr:from>
    <xdr:to>
      <xdr:col>11</xdr:col>
      <xdr:colOff>83820</xdr:colOff>
      <xdr:row>761</xdr:row>
      <xdr:rowOff>114300</xdr:rowOff>
    </xdr:to>
    <xdr:sp macro="" textlink="">
      <xdr:nvSpPr>
        <xdr:cNvPr id="5594" name="Arrow: Down 5593">
          <a:extLst>
            <a:ext uri="{FF2B5EF4-FFF2-40B4-BE49-F238E27FC236}">
              <a16:creationId xmlns:a16="http://schemas.microsoft.com/office/drawing/2014/main" id="{EA83CFA9-4D59-41CE-A100-0BC44F973C0E}"/>
            </a:ext>
          </a:extLst>
        </xdr:cNvPr>
        <xdr:cNvSpPr/>
      </xdr:nvSpPr>
      <xdr:spPr>
        <a:xfrm rot="10800000">
          <a:off x="36957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761</xdr:row>
      <xdr:rowOff>0</xdr:rowOff>
    </xdr:from>
    <xdr:to>
      <xdr:col>24</xdr:col>
      <xdr:colOff>83820</xdr:colOff>
      <xdr:row>761</xdr:row>
      <xdr:rowOff>114300</xdr:rowOff>
    </xdr:to>
    <xdr:sp macro="" textlink="">
      <xdr:nvSpPr>
        <xdr:cNvPr id="5605" name="Arrow: Down 5604">
          <a:extLst>
            <a:ext uri="{FF2B5EF4-FFF2-40B4-BE49-F238E27FC236}">
              <a16:creationId xmlns:a16="http://schemas.microsoft.com/office/drawing/2014/main" id="{E5FA8025-86E1-4AFE-A8A8-2FD2CEBBDF4A}"/>
            </a:ext>
          </a:extLst>
        </xdr:cNvPr>
        <xdr:cNvSpPr/>
      </xdr:nvSpPr>
      <xdr:spPr>
        <a:xfrm rot="10800000">
          <a:off x="833628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761</xdr:row>
      <xdr:rowOff>0</xdr:rowOff>
    </xdr:from>
    <xdr:to>
      <xdr:col>39</xdr:col>
      <xdr:colOff>83820</xdr:colOff>
      <xdr:row>761</xdr:row>
      <xdr:rowOff>114300</xdr:rowOff>
    </xdr:to>
    <xdr:sp macro="" textlink="">
      <xdr:nvSpPr>
        <xdr:cNvPr id="5617" name="Arrow: Down 5616">
          <a:extLst>
            <a:ext uri="{FF2B5EF4-FFF2-40B4-BE49-F238E27FC236}">
              <a16:creationId xmlns:a16="http://schemas.microsoft.com/office/drawing/2014/main" id="{937E6D3D-E50C-4119-836C-03FE67A3792B}"/>
            </a:ext>
          </a:extLst>
        </xdr:cNvPr>
        <xdr:cNvSpPr/>
      </xdr:nvSpPr>
      <xdr:spPr>
        <a:xfrm>
          <a:off x="115443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762</xdr:row>
      <xdr:rowOff>0</xdr:rowOff>
    </xdr:from>
    <xdr:to>
      <xdr:col>64</xdr:col>
      <xdr:colOff>83820</xdr:colOff>
      <xdr:row>762</xdr:row>
      <xdr:rowOff>114300</xdr:rowOff>
    </xdr:to>
    <xdr:sp macro="" textlink="">
      <xdr:nvSpPr>
        <xdr:cNvPr id="5621" name="Arrow: Down 5620">
          <a:extLst>
            <a:ext uri="{FF2B5EF4-FFF2-40B4-BE49-F238E27FC236}">
              <a16:creationId xmlns:a16="http://schemas.microsoft.com/office/drawing/2014/main" id="{F41FC346-40FC-4F15-8AAB-33F51CCD7ADF}"/>
            </a:ext>
          </a:extLst>
        </xdr:cNvPr>
        <xdr:cNvSpPr/>
      </xdr:nvSpPr>
      <xdr:spPr>
        <a:xfrm rot="10800000">
          <a:off x="19347180" y="139270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762</xdr:row>
      <xdr:rowOff>0</xdr:rowOff>
    </xdr:from>
    <xdr:to>
      <xdr:col>45</xdr:col>
      <xdr:colOff>83820</xdr:colOff>
      <xdr:row>762</xdr:row>
      <xdr:rowOff>114300</xdr:rowOff>
    </xdr:to>
    <xdr:sp macro="" textlink="">
      <xdr:nvSpPr>
        <xdr:cNvPr id="5623" name="Arrow: Down 5622">
          <a:extLst>
            <a:ext uri="{FF2B5EF4-FFF2-40B4-BE49-F238E27FC236}">
              <a16:creationId xmlns:a16="http://schemas.microsoft.com/office/drawing/2014/main" id="{6411D4A3-E2CC-46CD-8836-12E2F9803012}"/>
            </a:ext>
          </a:extLst>
        </xdr:cNvPr>
        <xdr:cNvSpPr/>
      </xdr:nvSpPr>
      <xdr:spPr>
        <a:xfrm rot="10800000">
          <a:off x="13403580" y="1392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762</xdr:row>
      <xdr:rowOff>0</xdr:rowOff>
    </xdr:from>
    <xdr:to>
      <xdr:col>71</xdr:col>
      <xdr:colOff>83820</xdr:colOff>
      <xdr:row>762</xdr:row>
      <xdr:rowOff>114300</xdr:rowOff>
    </xdr:to>
    <xdr:sp macro="" textlink="">
      <xdr:nvSpPr>
        <xdr:cNvPr id="5624" name="Arrow: Down 5623">
          <a:extLst>
            <a:ext uri="{FF2B5EF4-FFF2-40B4-BE49-F238E27FC236}">
              <a16:creationId xmlns:a16="http://schemas.microsoft.com/office/drawing/2014/main" id="{E6964528-223D-45E1-B058-58FE16C94D5F}"/>
            </a:ext>
          </a:extLst>
        </xdr:cNvPr>
        <xdr:cNvSpPr/>
      </xdr:nvSpPr>
      <xdr:spPr>
        <a:xfrm>
          <a:off x="21960840" y="1392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83820</xdr:colOff>
      <xdr:row>762</xdr:row>
      <xdr:rowOff>114300</xdr:rowOff>
    </xdr:to>
    <xdr:sp macro="" textlink="">
      <xdr:nvSpPr>
        <xdr:cNvPr id="5626" name="Arrow: Down 5625">
          <a:extLst>
            <a:ext uri="{FF2B5EF4-FFF2-40B4-BE49-F238E27FC236}">
              <a16:creationId xmlns:a16="http://schemas.microsoft.com/office/drawing/2014/main" id="{ECC713F3-8623-41D6-B599-EF754A56AC4B}"/>
            </a:ext>
          </a:extLst>
        </xdr:cNvPr>
        <xdr:cNvSpPr/>
      </xdr:nvSpPr>
      <xdr:spPr>
        <a:xfrm rot="10800000">
          <a:off x="192786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762</xdr:row>
      <xdr:rowOff>0</xdr:rowOff>
    </xdr:from>
    <xdr:to>
      <xdr:col>11</xdr:col>
      <xdr:colOff>83820</xdr:colOff>
      <xdr:row>762</xdr:row>
      <xdr:rowOff>114300</xdr:rowOff>
    </xdr:to>
    <xdr:sp macro="" textlink="">
      <xdr:nvSpPr>
        <xdr:cNvPr id="5627" name="Arrow: Down 5626">
          <a:extLst>
            <a:ext uri="{FF2B5EF4-FFF2-40B4-BE49-F238E27FC236}">
              <a16:creationId xmlns:a16="http://schemas.microsoft.com/office/drawing/2014/main" id="{D9CB4303-B50C-4E27-917C-6E727ED43274}"/>
            </a:ext>
          </a:extLst>
        </xdr:cNvPr>
        <xdr:cNvSpPr/>
      </xdr:nvSpPr>
      <xdr:spPr>
        <a:xfrm rot="10800000">
          <a:off x="36957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762</xdr:row>
      <xdr:rowOff>0</xdr:rowOff>
    </xdr:from>
    <xdr:to>
      <xdr:col>24</xdr:col>
      <xdr:colOff>83820</xdr:colOff>
      <xdr:row>762</xdr:row>
      <xdr:rowOff>114300</xdr:rowOff>
    </xdr:to>
    <xdr:sp macro="" textlink="">
      <xdr:nvSpPr>
        <xdr:cNvPr id="5628" name="Arrow: Down 5627">
          <a:extLst>
            <a:ext uri="{FF2B5EF4-FFF2-40B4-BE49-F238E27FC236}">
              <a16:creationId xmlns:a16="http://schemas.microsoft.com/office/drawing/2014/main" id="{09377B8C-A453-472F-A025-6B355AF6C8BC}"/>
            </a:ext>
          </a:extLst>
        </xdr:cNvPr>
        <xdr:cNvSpPr/>
      </xdr:nvSpPr>
      <xdr:spPr>
        <a:xfrm rot="10800000">
          <a:off x="833628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762</xdr:row>
      <xdr:rowOff>0</xdr:rowOff>
    </xdr:from>
    <xdr:to>
      <xdr:col>60</xdr:col>
      <xdr:colOff>83820</xdr:colOff>
      <xdr:row>762</xdr:row>
      <xdr:rowOff>114300</xdr:rowOff>
    </xdr:to>
    <xdr:sp macro="" textlink="">
      <xdr:nvSpPr>
        <xdr:cNvPr id="5645" name="Arrow: Down 5644">
          <a:extLst>
            <a:ext uri="{FF2B5EF4-FFF2-40B4-BE49-F238E27FC236}">
              <a16:creationId xmlns:a16="http://schemas.microsoft.com/office/drawing/2014/main" id="{8D6DA8E7-0502-4F6D-A854-9A771A04B853}"/>
            </a:ext>
          </a:extLst>
        </xdr:cNvPr>
        <xdr:cNvSpPr/>
      </xdr:nvSpPr>
      <xdr:spPr>
        <a:xfrm rot="10800000">
          <a:off x="1908048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762</xdr:row>
      <xdr:rowOff>0</xdr:rowOff>
    </xdr:from>
    <xdr:to>
      <xdr:col>39</xdr:col>
      <xdr:colOff>83820</xdr:colOff>
      <xdr:row>762</xdr:row>
      <xdr:rowOff>114300</xdr:rowOff>
    </xdr:to>
    <xdr:sp macro="" textlink="">
      <xdr:nvSpPr>
        <xdr:cNvPr id="5652" name="Arrow: Down 5651">
          <a:extLst>
            <a:ext uri="{FF2B5EF4-FFF2-40B4-BE49-F238E27FC236}">
              <a16:creationId xmlns:a16="http://schemas.microsoft.com/office/drawing/2014/main" id="{8CC1FDA0-156C-4836-A0C7-A22101756AC7}"/>
            </a:ext>
          </a:extLst>
        </xdr:cNvPr>
        <xdr:cNvSpPr/>
      </xdr:nvSpPr>
      <xdr:spPr>
        <a:xfrm rot="10800000">
          <a:off x="11544300" y="139453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763</xdr:row>
      <xdr:rowOff>0</xdr:rowOff>
    </xdr:from>
    <xdr:to>
      <xdr:col>64</xdr:col>
      <xdr:colOff>83820</xdr:colOff>
      <xdr:row>763</xdr:row>
      <xdr:rowOff>114300</xdr:rowOff>
    </xdr:to>
    <xdr:sp macro="" textlink="">
      <xdr:nvSpPr>
        <xdr:cNvPr id="5668" name="Arrow: Down 5667">
          <a:extLst>
            <a:ext uri="{FF2B5EF4-FFF2-40B4-BE49-F238E27FC236}">
              <a16:creationId xmlns:a16="http://schemas.microsoft.com/office/drawing/2014/main" id="{34296F4B-0B48-451C-8AA0-521ACFCA0ACB}"/>
            </a:ext>
          </a:extLst>
        </xdr:cNvPr>
        <xdr:cNvSpPr/>
      </xdr:nvSpPr>
      <xdr:spPr>
        <a:xfrm rot="10800000">
          <a:off x="19347180" y="139453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763</xdr:row>
      <xdr:rowOff>0</xdr:rowOff>
    </xdr:from>
    <xdr:to>
      <xdr:col>45</xdr:col>
      <xdr:colOff>83820</xdr:colOff>
      <xdr:row>763</xdr:row>
      <xdr:rowOff>114300</xdr:rowOff>
    </xdr:to>
    <xdr:sp macro="" textlink="">
      <xdr:nvSpPr>
        <xdr:cNvPr id="5670" name="Arrow: Down 5669">
          <a:extLst>
            <a:ext uri="{FF2B5EF4-FFF2-40B4-BE49-F238E27FC236}">
              <a16:creationId xmlns:a16="http://schemas.microsoft.com/office/drawing/2014/main" id="{5BCA7880-176E-4355-AC3A-8A713D744539}"/>
            </a:ext>
          </a:extLst>
        </xdr:cNvPr>
        <xdr:cNvSpPr/>
      </xdr:nvSpPr>
      <xdr:spPr>
        <a:xfrm rot="10800000">
          <a:off x="13403580" y="139453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763</xdr:row>
      <xdr:rowOff>0</xdr:rowOff>
    </xdr:from>
    <xdr:to>
      <xdr:col>71</xdr:col>
      <xdr:colOff>83820</xdr:colOff>
      <xdr:row>763</xdr:row>
      <xdr:rowOff>114300</xdr:rowOff>
    </xdr:to>
    <xdr:sp macro="" textlink="">
      <xdr:nvSpPr>
        <xdr:cNvPr id="5674" name="Arrow: Down 5673">
          <a:extLst>
            <a:ext uri="{FF2B5EF4-FFF2-40B4-BE49-F238E27FC236}">
              <a16:creationId xmlns:a16="http://schemas.microsoft.com/office/drawing/2014/main" id="{BFE687E3-8366-4CBF-B5F6-CD13E1C85BB3}"/>
            </a:ext>
          </a:extLst>
        </xdr:cNvPr>
        <xdr:cNvSpPr/>
      </xdr:nvSpPr>
      <xdr:spPr>
        <a:xfrm>
          <a:off x="21960840" y="1394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763</xdr:row>
      <xdr:rowOff>0</xdr:rowOff>
    </xdr:from>
    <xdr:to>
      <xdr:col>5</xdr:col>
      <xdr:colOff>83820</xdr:colOff>
      <xdr:row>763</xdr:row>
      <xdr:rowOff>114300</xdr:rowOff>
    </xdr:to>
    <xdr:sp macro="" textlink="">
      <xdr:nvSpPr>
        <xdr:cNvPr id="5675" name="Arrow: Down 5674">
          <a:extLst>
            <a:ext uri="{FF2B5EF4-FFF2-40B4-BE49-F238E27FC236}">
              <a16:creationId xmlns:a16="http://schemas.microsoft.com/office/drawing/2014/main" id="{B7196852-8EEE-4454-BEA7-E46CA7C296EE}"/>
            </a:ext>
          </a:extLst>
        </xdr:cNvPr>
        <xdr:cNvSpPr/>
      </xdr:nvSpPr>
      <xdr:spPr>
        <a:xfrm rot="10800000">
          <a:off x="192786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763</xdr:row>
      <xdr:rowOff>0</xdr:rowOff>
    </xdr:from>
    <xdr:to>
      <xdr:col>11</xdr:col>
      <xdr:colOff>83820</xdr:colOff>
      <xdr:row>763</xdr:row>
      <xdr:rowOff>114300</xdr:rowOff>
    </xdr:to>
    <xdr:sp macro="" textlink="">
      <xdr:nvSpPr>
        <xdr:cNvPr id="5676" name="Arrow: Down 5675">
          <a:extLst>
            <a:ext uri="{FF2B5EF4-FFF2-40B4-BE49-F238E27FC236}">
              <a16:creationId xmlns:a16="http://schemas.microsoft.com/office/drawing/2014/main" id="{D48173AF-B773-462E-9CED-6EFDF6C08E73}"/>
            </a:ext>
          </a:extLst>
        </xdr:cNvPr>
        <xdr:cNvSpPr/>
      </xdr:nvSpPr>
      <xdr:spPr>
        <a:xfrm rot="10800000">
          <a:off x="369570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763</xdr:row>
      <xdr:rowOff>0</xdr:rowOff>
    </xdr:from>
    <xdr:to>
      <xdr:col>60</xdr:col>
      <xdr:colOff>83820</xdr:colOff>
      <xdr:row>763</xdr:row>
      <xdr:rowOff>114300</xdr:rowOff>
    </xdr:to>
    <xdr:sp macro="" textlink="">
      <xdr:nvSpPr>
        <xdr:cNvPr id="5681" name="Arrow: Down 5680">
          <a:extLst>
            <a:ext uri="{FF2B5EF4-FFF2-40B4-BE49-F238E27FC236}">
              <a16:creationId xmlns:a16="http://schemas.microsoft.com/office/drawing/2014/main" id="{B1F73F58-1537-4446-B04C-818566B292E4}"/>
            </a:ext>
          </a:extLst>
        </xdr:cNvPr>
        <xdr:cNvSpPr/>
      </xdr:nvSpPr>
      <xdr:spPr>
        <a:xfrm>
          <a:off x="190804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763</xdr:row>
      <xdr:rowOff>0</xdr:rowOff>
    </xdr:from>
    <xdr:to>
      <xdr:col>24</xdr:col>
      <xdr:colOff>83820</xdr:colOff>
      <xdr:row>763</xdr:row>
      <xdr:rowOff>114300</xdr:rowOff>
    </xdr:to>
    <xdr:sp macro="" textlink="">
      <xdr:nvSpPr>
        <xdr:cNvPr id="5686" name="Arrow: Down 5685">
          <a:extLst>
            <a:ext uri="{FF2B5EF4-FFF2-40B4-BE49-F238E27FC236}">
              <a16:creationId xmlns:a16="http://schemas.microsoft.com/office/drawing/2014/main" id="{86F2652E-2722-4A15-AC15-5E3F2E7173E8}"/>
            </a:ext>
          </a:extLst>
        </xdr:cNvPr>
        <xdr:cNvSpPr/>
      </xdr:nvSpPr>
      <xdr:spPr>
        <a:xfrm>
          <a:off x="83362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764</xdr:row>
      <xdr:rowOff>0</xdr:rowOff>
    </xdr:from>
    <xdr:to>
      <xdr:col>64</xdr:col>
      <xdr:colOff>83820</xdr:colOff>
      <xdr:row>764</xdr:row>
      <xdr:rowOff>114300</xdr:rowOff>
    </xdr:to>
    <xdr:sp macro="" textlink="">
      <xdr:nvSpPr>
        <xdr:cNvPr id="5706" name="Arrow: Down 5705">
          <a:extLst>
            <a:ext uri="{FF2B5EF4-FFF2-40B4-BE49-F238E27FC236}">
              <a16:creationId xmlns:a16="http://schemas.microsoft.com/office/drawing/2014/main" id="{E555D9AB-124D-417F-AE1B-FC439A32FF7B}"/>
            </a:ext>
          </a:extLst>
        </xdr:cNvPr>
        <xdr:cNvSpPr/>
      </xdr:nvSpPr>
      <xdr:spPr>
        <a:xfrm rot="10800000">
          <a:off x="19347180" y="139636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764</xdr:row>
      <xdr:rowOff>0</xdr:rowOff>
    </xdr:from>
    <xdr:to>
      <xdr:col>45</xdr:col>
      <xdr:colOff>83820</xdr:colOff>
      <xdr:row>764</xdr:row>
      <xdr:rowOff>114300</xdr:rowOff>
    </xdr:to>
    <xdr:sp macro="" textlink="">
      <xdr:nvSpPr>
        <xdr:cNvPr id="5708" name="Arrow: Down 5707">
          <a:extLst>
            <a:ext uri="{FF2B5EF4-FFF2-40B4-BE49-F238E27FC236}">
              <a16:creationId xmlns:a16="http://schemas.microsoft.com/office/drawing/2014/main" id="{B9A4FC6E-60D6-4E9E-9BE8-E986266A17B3}"/>
            </a:ext>
          </a:extLst>
        </xdr:cNvPr>
        <xdr:cNvSpPr/>
      </xdr:nvSpPr>
      <xdr:spPr>
        <a:xfrm rot="10800000">
          <a:off x="13403580" y="139636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764</xdr:row>
      <xdr:rowOff>0</xdr:rowOff>
    </xdr:from>
    <xdr:to>
      <xdr:col>71</xdr:col>
      <xdr:colOff>83820</xdr:colOff>
      <xdr:row>764</xdr:row>
      <xdr:rowOff>114300</xdr:rowOff>
    </xdr:to>
    <xdr:sp macro="" textlink="">
      <xdr:nvSpPr>
        <xdr:cNvPr id="5709" name="Arrow: Down 5708">
          <a:extLst>
            <a:ext uri="{FF2B5EF4-FFF2-40B4-BE49-F238E27FC236}">
              <a16:creationId xmlns:a16="http://schemas.microsoft.com/office/drawing/2014/main" id="{848BFB36-E276-4DC7-8291-DE66FE1633E0}"/>
            </a:ext>
          </a:extLst>
        </xdr:cNvPr>
        <xdr:cNvSpPr/>
      </xdr:nvSpPr>
      <xdr:spPr>
        <a:xfrm>
          <a:off x="2196084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83820</xdr:colOff>
      <xdr:row>764</xdr:row>
      <xdr:rowOff>114300</xdr:rowOff>
    </xdr:to>
    <xdr:sp macro="" textlink="">
      <xdr:nvSpPr>
        <xdr:cNvPr id="5710" name="Arrow: Down 5709">
          <a:extLst>
            <a:ext uri="{FF2B5EF4-FFF2-40B4-BE49-F238E27FC236}">
              <a16:creationId xmlns:a16="http://schemas.microsoft.com/office/drawing/2014/main" id="{8EB69EAD-F576-459D-B9AE-F2B7B811AAD2}"/>
            </a:ext>
          </a:extLst>
        </xdr:cNvPr>
        <xdr:cNvSpPr/>
      </xdr:nvSpPr>
      <xdr:spPr>
        <a:xfrm rot="10800000">
          <a:off x="192786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764</xdr:row>
      <xdr:rowOff>0</xdr:rowOff>
    </xdr:from>
    <xdr:to>
      <xdr:col>11</xdr:col>
      <xdr:colOff>83820</xdr:colOff>
      <xdr:row>764</xdr:row>
      <xdr:rowOff>114300</xdr:rowOff>
    </xdr:to>
    <xdr:sp macro="" textlink="">
      <xdr:nvSpPr>
        <xdr:cNvPr id="5711" name="Arrow: Down 5710">
          <a:extLst>
            <a:ext uri="{FF2B5EF4-FFF2-40B4-BE49-F238E27FC236}">
              <a16:creationId xmlns:a16="http://schemas.microsoft.com/office/drawing/2014/main" id="{299D482B-6C4A-4388-8C2E-3E4A6FDA94D2}"/>
            </a:ext>
          </a:extLst>
        </xdr:cNvPr>
        <xdr:cNvSpPr/>
      </xdr:nvSpPr>
      <xdr:spPr>
        <a:xfrm rot="10800000">
          <a:off x="369570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764</xdr:row>
      <xdr:rowOff>0</xdr:rowOff>
    </xdr:from>
    <xdr:to>
      <xdr:col>39</xdr:col>
      <xdr:colOff>83820</xdr:colOff>
      <xdr:row>764</xdr:row>
      <xdr:rowOff>114300</xdr:rowOff>
    </xdr:to>
    <xdr:sp macro="" textlink="">
      <xdr:nvSpPr>
        <xdr:cNvPr id="5713" name="Arrow: Down 5712">
          <a:extLst>
            <a:ext uri="{FF2B5EF4-FFF2-40B4-BE49-F238E27FC236}">
              <a16:creationId xmlns:a16="http://schemas.microsoft.com/office/drawing/2014/main" id="{62B43035-61F6-456F-B657-317AF2936D1B}"/>
            </a:ext>
          </a:extLst>
        </xdr:cNvPr>
        <xdr:cNvSpPr/>
      </xdr:nvSpPr>
      <xdr:spPr>
        <a:xfrm rot="10800000">
          <a:off x="11544300" y="139636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764</xdr:row>
      <xdr:rowOff>0</xdr:rowOff>
    </xdr:from>
    <xdr:to>
      <xdr:col>60</xdr:col>
      <xdr:colOff>83820</xdr:colOff>
      <xdr:row>764</xdr:row>
      <xdr:rowOff>114300</xdr:rowOff>
    </xdr:to>
    <xdr:sp macro="" textlink="">
      <xdr:nvSpPr>
        <xdr:cNvPr id="5715" name="Arrow: Down 5714">
          <a:extLst>
            <a:ext uri="{FF2B5EF4-FFF2-40B4-BE49-F238E27FC236}">
              <a16:creationId xmlns:a16="http://schemas.microsoft.com/office/drawing/2014/main" id="{5AAAFD9F-38A9-436A-9B57-6A21E7746E03}"/>
            </a:ext>
          </a:extLst>
        </xdr:cNvPr>
        <xdr:cNvSpPr/>
      </xdr:nvSpPr>
      <xdr:spPr>
        <a:xfrm>
          <a:off x="190804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763</xdr:row>
      <xdr:rowOff>0</xdr:rowOff>
    </xdr:from>
    <xdr:to>
      <xdr:col>39</xdr:col>
      <xdr:colOff>83820</xdr:colOff>
      <xdr:row>763</xdr:row>
      <xdr:rowOff>114300</xdr:rowOff>
    </xdr:to>
    <xdr:sp macro="" textlink="">
      <xdr:nvSpPr>
        <xdr:cNvPr id="5719" name="Arrow: Down 5718">
          <a:extLst>
            <a:ext uri="{FF2B5EF4-FFF2-40B4-BE49-F238E27FC236}">
              <a16:creationId xmlns:a16="http://schemas.microsoft.com/office/drawing/2014/main" id="{5E58C6DB-E86C-47C8-87CF-6DC2EC34040A}"/>
            </a:ext>
          </a:extLst>
        </xdr:cNvPr>
        <xdr:cNvSpPr/>
      </xdr:nvSpPr>
      <xdr:spPr>
        <a:xfrm>
          <a:off x="1154430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764</xdr:row>
      <xdr:rowOff>0</xdr:rowOff>
    </xdr:from>
    <xdr:to>
      <xdr:col>24</xdr:col>
      <xdr:colOff>83820</xdr:colOff>
      <xdr:row>764</xdr:row>
      <xdr:rowOff>114300</xdr:rowOff>
    </xdr:to>
    <xdr:sp macro="" textlink="">
      <xdr:nvSpPr>
        <xdr:cNvPr id="5720" name="Arrow: Down 5719">
          <a:extLst>
            <a:ext uri="{FF2B5EF4-FFF2-40B4-BE49-F238E27FC236}">
              <a16:creationId xmlns:a16="http://schemas.microsoft.com/office/drawing/2014/main" id="{541752D0-F124-4E6F-B5A2-975E23859AB8}"/>
            </a:ext>
          </a:extLst>
        </xdr:cNvPr>
        <xdr:cNvSpPr/>
      </xdr:nvSpPr>
      <xdr:spPr>
        <a:xfrm rot="10800000">
          <a:off x="8336280" y="1398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765</xdr:row>
      <xdr:rowOff>0</xdr:rowOff>
    </xdr:from>
    <xdr:to>
      <xdr:col>64</xdr:col>
      <xdr:colOff>83820</xdr:colOff>
      <xdr:row>765</xdr:row>
      <xdr:rowOff>114300</xdr:rowOff>
    </xdr:to>
    <xdr:sp macro="" textlink="">
      <xdr:nvSpPr>
        <xdr:cNvPr id="5721" name="Arrow: Down 5720">
          <a:extLst>
            <a:ext uri="{FF2B5EF4-FFF2-40B4-BE49-F238E27FC236}">
              <a16:creationId xmlns:a16="http://schemas.microsoft.com/office/drawing/2014/main" id="{ACF74721-84BA-4663-8E80-461DB88C671F}"/>
            </a:ext>
          </a:extLst>
        </xdr:cNvPr>
        <xdr:cNvSpPr/>
      </xdr:nvSpPr>
      <xdr:spPr>
        <a:xfrm rot="10800000">
          <a:off x="19347180" y="139819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765</xdr:row>
      <xdr:rowOff>0</xdr:rowOff>
    </xdr:from>
    <xdr:to>
      <xdr:col>45</xdr:col>
      <xdr:colOff>83820</xdr:colOff>
      <xdr:row>765</xdr:row>
      <xdr:rowOff>114300</xdr:rowOff>
    </xdr:to>
    <xdr:sp macro="" textlink="">
      <xdr:nvSpPr>
        <xdr:cNvPr id="5722" name="Arrow: Down 5721">
          <a:extLst>
            <a:ext uri="{FF2B5EF4-FFF2-40B4-BE49-F238E27FC236}">
              <a16:creationId xmlns:a16="http://schemas.microsoft.com/office/drawing/2014/main" id="{0342F58A-965A-4171-90FB-E667B03A496B}"/>
            </a:ext>
          </a:extLst>
        </xdr:cNvPr>
        <xdr:cNvSpPr/>
      </xdr:nvSpPr>
      <xdr:spPr>
        <a:xfrm rot="10800000">
          <a:off x="13403580" y="139819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765</xdr:row>
      <xdr:rowOff>0</xdr:rowOff>
    </xdr:from>
    <xdr:to>
      <xdr:col>71</xdr:col>
      <xdr:colOff>83820</xdr:colOff>
      <xdr:row>765</xdr:row>
      <xdr:rowOff>114300</xdr:rowOff>
    </xdr:to>
    <xdr:sp macro="" textlink="">
      <xdr:nvSpPr>
        <xdr:cNvPr id="5723" name="Arrow: Down 5722">
          <a:extLst>
            <a:ext uri="{FF2B5EF4-FFF2-40B4-BE49-F238E27FC236}">
              <a16:creationId xmlns:a16="http://schemas.microsoft.com/office/drawing/2014/main" id="{419FFA60-AAB2-4CC4-AB13-7886C20AAF03}"/>
            </a:ext>
          </a:extLst>
        </xdr:cNvPr>
        <xdr:cNvSpPr/>
      </xdr:nvSpPr>
      <xdr:spPr>
        <a:xfrm>
          <a:off x="21960840" y="1398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765</xdr:row>
      <xdr:rowOff>0</xdr:rowOff>
    </xdr:from>
    <xdr:to>
      <xdr:col>24</xdr:col>
      <xdr:colOff>83820</xdr:colOff>
      <xdr:row>765</xdr:row>
      <xdr:rowOff>114300</xdr:rowOff>
    </xdr:to>
    <xdr:sp macro="" textlink="">
      <xdr:nvSpPr>
        <xdr:cNvPr id="5731" name="Arrow: Down 5730">
          <a:extLst>
            <a:ext uri="{FF2B5EF4-FFF2-40B4-BE49-F238E27FC236}">
              <a16:creationId xmlns:a16="http://schemas.microsoft.com/office/drawing/2014/main" id="{560267DA-503A-4DB6-93E2-361B75B09946}"/>
            </a:ext>
          </a:extLst>
        </xdr:cNvPr>
        <xdr:cNvSpPr/>
      </xdr:nvSpPr>
      <xdr:spPr>
        <a:xfrm rot="10800000">
          <a:off x="8336280" y="1398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765</xdr:row>
      <xdr:rowOff>0</xdr:rowOff>
    </xdr:from>
    <xdr:to>
      <xdr:col>39</xdr:col>
      <xdr:colOff>83820</xdr:colOff>
      <xdr:row>765</xdr:row>
      <xdr:rowOff>114300</xdr:rowOff>
    </xdr:to>
    <xdr:sp macro="" textlink="">
      <xdr:nvSpPr>
        <xdr:cNvPr id="5736" name="Arrow: Down 5735">
          <a:extLst>
            <a:ext uri="{FF2B5EF4-FFF2-40B4-BE49-F238E27FC236}">
              <a16:creationId xmlns:a16="http://schemas.microsoft.com/office/drawing/2014/main" id="{1A78DA3A-55E1-49D3-91E3-CBC045D7C62D}"/>
            </a:ext>
          </a:extLst>
        </xdr:cNvPr>
        <xdr:cNvSpPr/>
      </xdr:nvSpPr>
      <xdr:spPr>
        <a:xfrm>
          <a:off x="1154430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765</xdr:row>
      <xdr:rowOff>0</xdr:rowOff>
    </xdr:from>
    <xdr:to>
      <xdr:col>60</xdr:col>
      <xdr:colOff>83820</xdr:colOff>
      <xdr:row>765</xdr:row>
      <xdr:rowOff>114300</xdr:rowOff>
    </xdr:to>
    <xdr:sp macro="" textlink="">
      <xdr:nvSpPr>
        <xdr:cNvPr id="5737" name="Arrow: Down 5736">
          <a:extLst>
            <a:ext uri="{FF2B5EF4-FFF2-40B4-BE49-F238E27FC236}">
              <a16:creationId xmlns:a16="http://schemas.microsoft.com/office/drawing/2014/main" id="{6128C927-85CA-47A9-9B4A-A7F95941DE2B}"/>
            </a:ext>
          </a:extLst>
        </xdr:cNvPr>
        <xdr:cNvSpPr/>
      </xdr:nvSpPr>
      <xdr:spPr>
        <a:xfrm rot="10800000">
          <a:off x="1908048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766</xdr:row>
      <xdr:rowOff>0</xdr:rowOff>
    </xdr:from>
    <xdr:to>
      <xdr:col>64</xdr:col>
      <xdr:colOff>83820</xdr:colOff>
      <xdr:row>766</xdr:row>
      <xdr:rowOff>114300</xdr:rowOff>
    </xdr:to>
    <xdr:sp macro="" textlink="">
      <xdr:nvSpPr>
        <xdr:cNvPr id="5739" name="Arrow: Down 5738">
          <a:extLst>
            <a:ext uri="{FF2B5EF4-FFF2-40B4-BE49-F238E27FC236}">
              <a16:creationId xmlns:a16="http://schemas.microsoft.com/office/drawing/2014/main" id="{FBE22951-0E65-4453-85EE-31ABBA11F9F4}"/>
            </a:ext>
          </a:extLst>
        </xdr:cNvPr>
        <xdr:cNvSpPr/>
      </xdr:nvSpPr>
      <xdr:spPr>
        <a:xfrm rot="10800000">
          <a:off x="19347180" y="140002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766</xdr:row>
      <xdr:rowOff>0</xdr:rowOff>
    </xdr:from>
    <xdr:to>
      <xdr:col>45</xdr:col>
      <xdr:colOff>83820</xdr:colOff>
      <xdr:row>766</xdr:row>
      <xdr:rowOff>114300</xdr:rowOff>
    </xdr:to>
    <xdr:sp macro="" textlink="">
      <xdr:nvSpPr>
        <xdr:cNvPr id="5741" name="Arrow: Down 5740">
          <a:extLst>
            <a:ext uri="{FF2B5EF4-FFF2-40B4-BE49-F238E27FC236}">
              <a16:creationId xmlns:a16="http://schemas.microsoft.com/office/drawing/2014/main" id="{0FD16CE7-7C21-4E6F-B4F7-61DDE62962F6}"/>
            </a:ext>
          </a:extLst>
        </xdr:cNvPr>
        <xdr:cNvSpPr/>
      </xdr:nvSpPr>
      <xdr:spPr>
        <a:xfrm rot="10800000">
          <a:off x="13403580" y="140002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766</xdr:row>
      <xdr:rowOff>0</xdr:rowOff>
    </xdr:from>
    <xdr:to>
      <xdr:col>60</xdr:col>
      <xdr:colOff>83820</xdr:colOff>
      <xdr:row>766</xdr:row>
      <xdr:rowOff>114300</xdr:rowOff>
    </xdr:to>
    <xdr:sp macro="" textlink="">
      <xdr:nvSpPr>
        <xdr:cNvPr id="5747" name="Arrow: Down 5746">
          <a:extLst>
            <a:ext uri="{FF2B5EF4-FFF2-40B4-BE49-F238E27FC236}">
              <a16:creationId xmlns:a16="http://schemas.microsoft.com/office/drawing/2014/main" id="{DF58C4C5-BAE5-4906-B8EF-846BC26B2250}"/>
            </a:ext>
          </a:extLst>
        </xdr:cNvPr>
        <xdr:cNvSpPr/>
      </xdr:nvSpPr>
      <xdr:spPr>
        <a:xfrm rot="10800000">
          <a:off x="1908048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765</xdr:row>
      <xdr:rowOff>0</xdr:rowOff>
    </xdr:from>
    <xdr:to>
      <xdr:col>5</xdr:col>
      <xdr:colOff>83820</xdr:colOff>
      <xdr:row>765</xdr:row>
      <xdr:rowOff>114300</xdr:rowOff>
    </xdr:to>
    <xdr:sp macro="" textlink="">
      <xdr:nvSpPr>
        <xdr:cNvPr id="5755" name="Arrow: Down 5754">
          <a:extLst>
            <a:ext uri="{FF2B5EF4-FFF2-40B4-BE49-F238E27FC236}">
              <a16:creationId xmlns:a16="http://schemas.microsoft.com/office/drawing/2014/main" id="{FEF587C1-E8DE-4A3D-B4FC-B937BB03A067}"/>
            </a:ext>
          </a:extLst>
        </xdr:cNvPr>
        <xdr:cNvSpPr/>
      </xdr:nvSpPr>
      <xdr:spPr>
        <a:xfrm>
          <a:off x="1927860" y="1400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765</xdr:row>
      <xdr:rowOff>0</xdr:rowOff>
    </xdr:from>
    <xdr:to>
      <xdr:col>11</xdr:col>
      <xdr:colOff>83820</xdr:colOff>
      <xdr:row>765</xdr:row>
      <xdr:rowOff>114300</xdr:rowOff>
    </xdr:to>
    <xdr:sp macro="" textlink="">
      <xdr:nvSpPr>
        <xdr:cNvPr id="5758" name="Arrow: Down 5757">
          <a:extLst>
            <a:ext uri="{FF2B5EF4-FFF2-40B4-BE49-F238E27FC236}">
              <a16:creationId xmlns:a16="http://schemas.microsoft.com/office/drawing/2014/main" id="{C4BE534F-4032-4499-A1AB-42AC10FDD701}"/>
            </a:ext>
          </a:extLst>
        </xdr:cNvPr>
        <xdr:cNvSpPr/>
      </xdr:nvSpPr>
      <xdr:spPr>
        <a:xfrm>
          <a:off x="3695700" y="1400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766</xdr:row>
      <xdr:rowOff>0</xdr:rowOff>
    </xdr:from>
    <xdr:to>
      <xdr:col>71</xdr:col>
      <xdr:colOff>83820</xdr:colOff>
      <xdr:row>766</xdr:row>
      <xdr:rowOff>114300</xdr:rowOff>
    </xdr:to>
    <xdr:sp macro="" textlink="">
      <xdr:nvSpPr>
        <xdr:cNvPr id="5760" name="Arrow: Down 5759">
          <a:extLst>
            <a:ext uri="{FF2B5EF4-FFF2-40B4-BE49-F238E27FC236}">
              <a16:creationId xmlns:a16="http://schemas.microsoft.com/office/drawing/2014/main" id="{53C05DF0-D26B-4D9D-9B56-AE1F93892B64}"/>
            </a:ext>
          </a:extLst>
        </xdr:cNvPr>
        <xdr:cNvSpPr/>
      </xdr:nvSpPr>
      <xdr:spPr>
        <a:xfrm rot="10800000">
          <a:off x="21960840" y="1401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766</xdr:row>
      <xdr:rowOff>0</xdr:rowOff>
    </xdr:from>
    <xdr:to>
      <xdr:col>5</xdr:col>
      <xdr:colOff>83820</xdr:colOff>
      <xdr:row>766</xdr:row>
      <xdr:rowOff>114300</xdr:rowOff>
    </xdr:to>
    <xdr:sp macro="" textlink="">
      <xdr:nvSpPr>
        <xdr:cNvPr id="5762" name="Arrow: Down 5761">
          <a:extLst>
            <a:ext uri="{FF2B5EF4-FFF2-40B4-BE49-F238E27FC236}">
              <a16:creationId xmlns:a16="http://schemas.microsoft.com/office/drawing/2014/main" id="{04CAE8CD-3001-4DA2-9650-A4493E79AD1E}"/>
            </a:ext>
          </a:extLst>
        </xdr:cNvPr>
        <xdr:cNvSpPr/>
      </xdr:nvSpPr>
      <xdr:spPr>
        <a:xfrm>
          <a:off x="192786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766</xdr:row>
      <xdr:rowOff>0</xdr:rowOff>
    </xdr:from>
    <xdr:to>
      <xdr:col>11</xdr:col>
      <xdr:colOff>83820</xdr:colOff>
      <xdr:row>766</xdr:row>
      <xdr:rowOff>114300</xdr:rowOff>
    </xdr:to>
    <xdr:sp macro="" textlink="">
      <xdr:nvSpPr>
        <xdr:cNvPr id="5763" name="Arrow: Down 5762">
          <a:extLst>
            <a:ext uri="{FF2B5EF4-FFF2-40B4-BE49-F238E27FC236}">
              <a16:creationId xmlns:a16="http://schemas.microsoft.com/office/drawing/2014/main" id="{F01979BC-DE4C-4A03-8FC5-4462CA1CBEC9}"/>
            </a:ext>
          </a:extLst>
        </xdr:cNvPr>
        <xdr:cNvSpPr/>
      </xdr:nvSpPr>
      <xdr:spPr>
        <a:xfrm>
          <a:off x="369570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766</xdr:row>
      <xdr:rowOff>0</xdr:rowOff>
    </xdr:from>
    <xdr:to>
      <xdr:col>24</xdr:col>
      <xdr:colOff>83820</xdr:colOff>
      <xdr:row>766</xdr:row>
      <xdr:rowOff>114300</xdr:rowOff>
    </xdr:to>
    <xdr:sp macro="" textlink="">
      <xdr:nvSpPr>
        <xdr:cNvPr id="5765" name="Arrow: Down 5764">
          <a:extLst>
            <a:ext uri="{FF2B5EF4-FFF2-40B4-BE49-F238E27FC236}">
              <a16:creationId xmlns:a16="http://schemas.microsoft.com/office/drawing/2014/main" id="{D476CD18-7B70-4611-8AA9-90C60B8DE1A1}"/>
            </a:ext>
          </a:extLst>
        </xdr:cNvPr>
        <xdr:cNvSpPr/>
      </xdr:nvSpPr>
      <xdr:spPr>
        <a:xfrm>
          <a:off x="833628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766</xdr:row>
      <xdr:rowOff>0</xdr:rowOff>
    </xdr:from>
    <xdr:to>
      <xdr:col>39</xdr:col>
      <xdr:colOff>83820</xdr:colOff>
      <xdr:row>766</xdr:row>
      <xdr:rowOff>114300</xdr:rowOff>
    </xdr:to>
    <xdr:sp macro="" textlink="">
      <xdr:nvSpPr>
        <xdr:cNvPr id="5767" name="Arrow: Down 5766">
          <a:extLst>
            <a:ext uri="{FF2B5EF4-FFF2-40B4-BE49-F238E27FC236}">
              <a16:creationId xmlns:a16="http://schemas.microsoft.com/office/drawing/2014/main" id="{52D939A8-F745-487D-AE40-95031E55CB14}"/>
            </a:ext>
          </a:extLst>
        </xdr:cNvPr>
        <xdr:cNvSpPr/>
      </xdr:nvSpPr>
      <xdr:spPr>
        <a:xfrm rot="10800000">
          <a:off x="11544300" y="140185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767</xdr:row>
      <xdr:rowOff>0</xdr:rowOff>
    </xdr:from>
    <xdr:to>
      <xdr:col>64</xdr:col>
      <xdr:colOff>83820</xdr:colOff>
      <xdr:row>767</xdr:row>
      <xdr:rowOff>114300</xdr:rowOff>
    </xdr:to>
    <xdr:sp macro="" textlink="">
      <xdr:nvSpPr>
        <xdr:cNvPr id="5771" name="Arrow: Down 5770">
          <a:extLst>
            <a:ext uri="{FF2B5EF4-FFF2-40B4-BE49-F238E27FC236}">
              <a16:creationId xmlns:a16="http://schemas.microsoft.com/office/drawing/2014/main" id="{80C27021-7D63-4016-9D8A-81D1384F7093}"/>
            </a:ext>
          </a:extLst>
        </xdr:cNvPr>
        <xdr:cNvSpPr/>
      </xdr:nvSpPr>
      <xdr:spPr>
        <a:xfrm rot="10800000">
          <a:off x="19347180" y="140185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767</xdr:row>
      <xdr:rowOff>0</xdr:rowOff>
    </xdr:from>
    <xdr:to>
      <xdr:col>45</xdr:col>
      <xdr:colOff>83820</xdr:colOff>
      <xdr:row>767</xdr:row>
      <xdr:rowOff>114300</xdr:rowOff>
    </xdr:to>
    <xdr:sp macro="" textlink="">
      <xdr:nvSpPr>
        <xdr:cNvPr id="5774" name="Arrow: Down 5773">
          <a:extLst>
            <a:ext uri="{FF2B5EF4-FFF2-40B4-BE49-F238E27FC236}">
              <a16:creationId xmlns:a16="http://schemas.microsoft.com/office/drawing/2014/main" id="{98B3294E-9906-471C-8A66-3AF387EAA660}"/>
            </a:ext>
          </a:extLst>
        </xdr:cNvPr>
        <xdr:cNvSpPr/>
      </xdr:nvSpPr>
      <xdr:spPr>
        <a:xfrm rot="10800000">
          <a:off x="13403580" y="140185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767</xdr:row>
      <xdr:rowOff>0</xdr:rowOff>
    </xdr:from>
    <xdr:to>
      <xdr:col>5</xdr:col>
      <xdr:colOff>83820</xdr:colOff>
      <xdr:row>767</xdr:row>
      <xdr:rowOff>114300</xdr:rowOff>
    </xdr:to>
    <xdr:sp macro="" textlink="">
      <xdr:nvSpPr>
        <xdr:cNvPr id="5778" name="Arrow: Down 5777">
          <a:extLst>
            <a:ext uri="{FF2B5EF4-FFF2-40B4-BE49-F238E27FC236}">
              <a16:creationId xmlns:a16="http://schemas.microsoft.com/office/drawing/2014/main" id="{3F19CC43-78EF-43DA-BE39-D8F5C93B6A64}"/>
            </a:ext>
          </a:extLst>
        </xdr:cNvPr>
        <xdr:cNvSpPr/>
      </xdr:nvSpPr>
      <xdr:spPr>
        <a:xfrm>
          <a:off x="192786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767</xdr:row>
      <xdr:rowOff>0</xdr:rowOff>
    </xdr:from>
    <xdr:to>
      <xdr:col>11</xdr:col>
      <xdr:colOff>83820</xdr:colOff>
      <xdr:row>767</xdr:row>
      <xdr:rowOff>114300</xdr:rowOff>
    </xdr:to>
    <xdr:sp macro="" textlink="">
      <xdr:nvSpPr>
        <xdr:cNvPr id="5780" name="Arrow: Down 5779">
          <a:extLst>
            <a:ext uri="{FF2B5EF4-FFF2-40B4-BE49-F238E27FC236}">
              <a16:creationId xmlns:a16="http://schemas.microsoft.com/office/drawing/2014/main" id="{E4C04666-DEBF-48A6-9DBE-DDC65E24C0B6}"/>
            </a:ext>
          </a:extLst>
        </xdr:cNvPr>
        <xdr:cNvSpPr/>
      </xdr:nvSpPr>
      <xdr:spPr>
        <a:xfrm>
          <a:off x="369570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767</xdr:row>
      <xdr:rowOff>0</xdr:rowOff>
    </xdr:from>
    <xdr:to>
      <xdr:col>24</xdr:col>
      <xdr:colOff>83820</xdr:colOff>
      <xdr:row>767</xdr:row>
      <xdr:rowOff>114300</xdr:rowOff>
    </xdr:to>
    <xdr:sp macro="" textlink="">
      <xdr:nvSpPr>
        <xdr:cNvPr id="5781" name="Arrow: Down 5780">
          <a:extLst>
            <a:ext uri="{FF2B5EF4-FFF2-40B4-BE49-F238E27FC236}">
              <a16:creationId xmlns:a16="http://schemas.microsoft.com/office/drawing/2014/main" id="{87456E16-DD7A-44BD-AAFB-1F5725312612}"/>
            </a:ext>
          </a:extLst>
        </xdr:cNvPr>
        <xdr:cNvSpPr/>
      </xdr:nvSpPr>
      <xdr:spPr>
        <a:xfrm>
          <a:off x="833628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767</xdr:row>
      <xdr:rowOff>0</xdr:rowOff>
    </xdr:from>
    <xdr:to>
      <xdr:col>39</xdr:col>
      <xdr:colOff>83820</xdr:colOff>
      <xdr:row>767</xdr:row>
      <xdr:rowOff>114300</xdr:rowOff>
    </xdr:to>
    <xdr:sp macro="" textlink="">
      <xdr:nvSpPr>
        <xdr:cNvPr id="5784" name="Arrow: Down 5783">
          <a:extLst>
            <a:ext uri="{FF2B5EF4-FFF2-40B4-BE49-F238E27FC236}">
              <a16:creationId xmlns:a16="http://schemas.microsoft.com/office/drawing/2014/main" id="{456F0183-EADF-4110-A4C0-C26FD81B7559}"/>
            </a:ext>
          </a:extLst>
        </xdr:cNvPr>
        <xdr:cNvSpPr/>
      </xdr:nvSpPr>
      <xdr:spPr>
        <a:xfrm>
          <a:off x="11544300" y="14036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767</xdr:row>
      <xdr:rowOff>0</xdr:rowOff>
    </xdr:from>
    <xdr:to>
      <xdr:col>71</xdr:col>
      <xdr:colOff>83820</xdr:colOff>
      <xdr:row>767</xdr:row>
      <xdr:rowOff>114300</xdr:rowOff>
    </xdr:to>
    <xdr:sp macro="" textlink="">
      <xdr:nvSpPr>
        <xdr:cNvPr id="5786" name="Arrow: Down 5785">
          <a:extLst>
            <a:ext uri="{FF2B5EF4-FFF2-40B4-BE49-F238E27FC236}">
              <a16:creationId xmlns:a16="http://schemas.microsoft.com/office/drawing/2014/main" id="{3ED0AE4B-B7DF-4BAE-B35B-F5119FBE59AE}"/>
            </a:ext>
          </a:extLst>
        </xdr:cNvPr>
        <xdr:cNvSpPr/>
      </xdr:nvSpPr>
      <xdr:spPr>
        <a:xfrm>
          <a:off x="2196084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767</xdr:row>
      <xdr:rowOff>0</xdr:rowOff>
    </xdr:from>
    <xdr:to>
      <xdr:col>60</xdr:col>
      <xdr:colOff>83820</xdr:colOff>
      <xdr:row>767</xdr:row>
      <xdr:rowOff>114300</xdr:rowOff>
    </xdr:to>
    <xdr:sp macro="" textlink="">
      <xdr:nvSpPr>
        <xdr:cNvPr id="5788" name="Arrow: Down 5787">
          <a:extLst>
            <a:ext uri="{FF2B5EF4-FFF2-40B4-BE49-F238E27FC236}">
              <a16:creationId xmlns:a16="http://schemas.microsoft.com/office/drawing/2014/main" id="{E8DBE7EB-DA62-49DA-A54B-5AF09512924B}"/>
            </a:ext>
          </a:extLst>
        </xdr:cNvPr>
        <xdr:cNvSpPr/>
      </xdr:nvSpPr>
      <xdr:spPr>
        <a:xfrm>
          <a:off x="1908048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768</xdr:row>
      <xdr:rowOff>0</xdr:rowOff>
    </xdr:from>
    <xdr:to>
      <xdr:col>64</xdr:col>
      <xdr:colOff>83820</xdr:colOff>
      <xdr:row>768</xdr:row>
      <xdr:rowOff>114300</xdr:rowOff>
    </xdr:to>
    <xdr:sp macro="" textlink="">
      <xdr:nvSpPr>
        <xdr:cNvPr id="5805" name="Arrow: Down 5804">
          <a:extLst>
            <a:ext uri="{FF2B5EF4-FFF2-40B4-BE49-F238E27FC236}">
              <a16:creationId xmlns:a16="http://schemas.microsoft.com/office/drawing/2014/main" id="{114B1773-AF5B-4477-BB0C-55AF103FCB67}"/>
            </a:ext>
          </a:extLst>
        </xdr:cNvPr>
        <xdr:cNvSpPr/>
      </xdr:nvSpPr>
      <xdr:spPr>
        <a:xfrm rot="10800000">
          <a:off x="19347180" y="140368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768</xdr:row>
      <xdr:rowOff>0</xdr:rowOff>
    </xdr:from>
    <xdr:to>
      <xdr:col>45</xdr:col>
      <xdr:colOff>83820</xdr:colOff>
      <xdr:row>768</xdr:row>
      <xdr:rowOff>114300</xdr:rowOff>
    </xdr:to>
    <xdr:sp macro="" textlink="">
      <xdr:nvSpPr>
        <xdr:cNvPr id="5806" name="Arrow: Down 5805">
          <a:extLst>
            <a:ext uri="{FF2B5EF4-FFF2-40B4-BE49-F238E27FC236}">
              <a16:creationId xmlns:a16="http://schemas.microsoft.com/office/drawing/2014/main" id="{75DBF4A7-2A60-469C-8E48-06312318BE9D}"/>
            </a:ext>
          </a:extLst>
        </xdr:cNvPr>
        <xdr:cNvSpPr/>
      </xdr:nvSpPr>
      <xdr:spPr>
        <a:xfrm rot="10800000">
          <a:off x="13403580" y="14036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768</xdr:row>
      <xdr:rowOff>0</xdr:rowOff>
    </xdr:from>
    <xdr:to>
      <xdr:col>71</xdr:col>
      <xdr:colOff>83820</xdr:colOff>
      <xdr:row>768</xdr:row>
      <xdr:rowOff>114300</xdr:rowOff>
    </xdr:to>
    <xdr:sp macro="" textlink="">
      <xdr:nvSpPr>
        <xdr:cNvPr id="5811" name="Arrow: Down 5810">
          <a:extLst>
            <a:ext uri="{FF2B5EF4-FFF2-40B4-BE49-F238E27FC236}">
              <a16:creationId xmlns:a16="http://schemas.microsoft.com/office/drawing/2014/main" id="{9C73D145-6306-4D2B-AE58-B6EF4903FE23}"/>
            </a:ext>
          </a:extLst>
        </xdr:cNvPr>
        <xdr:cNvSpPr/>
      </xdr:nvSpPr>
      <xdr:spPr>
        <a:xfrm>
          <a:off x="2196084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768</xdr:row>
      <xdr:rowOff>0</xdr:rowOff>
    </xdr:from>
    <xdr:to>
      <xdr:col>60</xdr:col>
      <xdr:colOff>83820</xdr:colOff>
      <xdr:row>768</xdr:row>
      <xdr:rowOff>114300</xdr:rowOff>
    </xdr:to>
    <xdr:sp macro="" textlink="">
      <xdr:nvSpPr>
        <xdr:cNvPr id="5812" name="Arrow: Down 5811">
          <a:extLst>
            <a:ext uri="{FF2B5EF4-FFF2-40B4-BE49-F238E27FC236}">
              <a16:creationId xmlns:a16="http://schemas.microsoft.com/office/drawing/2014/main" id="{3179056F-A797-43A0-A294-EB604863D364}"/>
            </a:ext>
          </a:extLst>
        </xdr:cNvPr>
        <xdr:cNvSpPr/>
      </xdr:nvSpPr>
      <xdr:spPr>
        <a:xfrm>
          <a:off x="1908048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768</xdr:row>
      <xdr:rowOff>0</xdr:rowOff>
    </xdr:from>
    <xdr:to>
      <xdr:col>5</xdr:col>
      <xdr:colOff>83820</xdr:colOff>
      <xdr:row>768</xdr:row>
      <xdr:rowOff>114300</xdr:rowOff>
    </xdr:to>
    <xdr:sp macro="" textlink="">
      <xdr:nvSpPr>
        <xdr:cNvPr id="5820" name="Arrow: Down 5819">
          <a:extLst>
            <a:ext uri="{FF2B5EF4-FFF2-40B4-BE49-F238E27FC236}">
              <a16:creationId xmlns:a16="http://schemas.microsoft.com/office/drawing/2014/main" id="{145E669F-E01A-415B-A9B6-0947763756C4}"/>
            </a:ext>
          </a:extLst>
        </xdr:cNvPr>
        <xdr:cNvSpPr/>
      </xdr:nvSpPr>
      <xdr:spPr>
        <a:xfrm rot="10800000">
          <a:off x="192786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83820</xdr:colOff>
      <xdr:row>768</xdr:row>
      <xdr:rowOff>114300</xdr:rowOff>
    </xdr:to>
    <xdr:sp macro="" textlink="">
      <xdr:nvSpPr>
        <xdr:cNvPr id="5823" name="Arrow: Down 5822">
          <a:extLst>
            <a:ext uri="{FF2B5EF4-FFF2-40B4-BE49-F238E27FC236}">
              <a16:creationId xmlns:a16="http://schemas.microsoft.com/office/drawing/2014/main" id="{B55DB806-06A5-4879-911D-CE90E1977FAB}"/>
            </a:ext>
          </a:extLst>
        </xdr:cNvPr>
        <xdr:cNvSpPr/>
      </xdr:nvSpPr>
      <xdr:spPr>
        <a:xfrm rot="10800000">
          <a:off x="369570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768</xdr:row>
      <xdr:rowOff>0</xdr:rowOff>
    </xdr:from>
    <xdr:to>
      <xdr:col>24</xdr:col>
      <xdr:colOff>83820</xdr:colOff>
      <xdr:row>768</xdr:row>
      <xdr:rowOff>114300</xdr:rowOff>
    </xdr:to>
    <xdr:sp macro="" textlink="">
      <xdr:nvSpPr>
        <xdr:cNvPr id="5825" name="Arrow: Down 5824">
          <a:extLst>
            <a:ext uri="{FF2B5EF4-FFF2-40B4-BE49-F238E27FC236}">
              <a16:creationId xmlns:a16="http://schemas.microsoft.com/office/drawing/2014/main" id="{E66249DD-D840-4F56-A79E-F260E9D28901}"/>
            </a:ext>
          </a:extLst>
        </xdr:cNvPr>
        <xdr:cNvSpPr/>
      </xdr:nvSpPr>
      <xdr:spPr>
        <a:xfrm rot="10800000">
          <a:off x="833628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768</xdr:row>
      <xdr:rowOff>0</xdr:rowOff>
    </xdr:from>
    <xdr:to>
      <xdr:col>39</xdr:col>
      <xdr:colOff>83820</xdr:colOff>
      <xdr:row>768</xdr:row>
      <xdr:rowOff>114300</xdr:rowOff>
    </xdr:to>
    <xdr:sp macro="" textlink="">
      <xdr:nvSpPr>
        <xdr:cNvPr id="5827" name="Arrow: Down 5826">
          <a:extLst>
            <a:ext uri="{FF2B5EF4-FFF2-40B4-BE49-F238E27FC236}">
              <a16:creationId xmlns:a16="http://schemas.microsoft.com/office/drawing/2014/main" id="{3617E34E-9BEF-4DBB-8909-F98338A5FFD7}"/>
            </a:ext>
          </a:extLst>
        </xdr:cNvPr>
        <xdr:cNvSpPr/>
      </xdr:nvSpPr>
      <xdr:spPr>
        <a:xfrm rot="10800000">
          <a:off x="11544300" y="14055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769</xdr:row>
      <xdr:rowOff>0</xdr:rowOff>
    </xdr:from>
    <xdr:to>
      <xdr:col>64</xdr:col>
      <xdr:colOff>83820</xdr:colOff>
      <xdr:row>769</xdr:row>
      <xdr:rowOff>114300</xdr:rowOff>
    </xdr:to>
    <xdr:sp macro="" textlink="">
      <xdr:nvSpPr>
        <xdr:cNvPr id="5843" name="Arrow: Down 5842">
          <a:extLst>
            <a:ext uri="{FF2B5EF4-FFF2-40B4-BE49-F238E27FC236}">
              <a16:creationId xmlns:a16="http://schemas.microsoft.com/office/drawing/2014/main" id="{662F4CB8-46C1-4761-BF66-A467C3BFCC6C}"/>
            </a:ext>
          </a:extLst>
        </xdr:cNvPr>
        <xdr:cNvSpPr/>
      </xdr:nvSpPr>
      <xdr:spPr>
        <a:xfrm rot="10800000">
          <a:off x="19347180" y="140550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769</xdr:row>
      <xdr:rowOff>0</xdr:rowOff>
    </xdr:from>
    <xdr:to>
      <xdr:col>45</xdr:col>
      <xdr:colOff>83820</xdr:colOff>
      <xdr:row>769</xdr:row>
      <xdr:rowOff>114300</xdr:rowOff>
    </xdr:to>
    <xdr:sp macro="" textlink="">
      <xdr:nvSpPr>
        <xdr:cNvPr id="5844" name="Arrow: Down 5843">
          <a:extLst>
            <a:ext uri="{FF2B5EF4-FFF2-40B4-BE49-F238E27FC236}">
              <a16:creationId xmlns:a16="http://schemas.microsoft.com/office/drawing/2014/main" id="{409D7688-F0E5-4A00-9383-B2058CC77E5F}"/>
            </a:ext>
          </a:extLst>
        </xdr:cNvPr>
        <xdr:cNvSpPr/>
      </xdr:nvSpPr>
      <xdr:spPr>
        <a:xfrm rot="10800000">
          <a:off x="13403580" y="14055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769</xdr:row>
      <xdr:rowOff>0</xdr:rowOff>
    </xdr:from>
    <xdr:to>
      <xdr:col>71</xdr:col>
      <xdr:colOff>83820</xdr:colOff>
      <xdr:row>769</xdr:row>
      <xdr:rowOff>114300</xdr:rowOff>
    </xdr:to>
    <xdr:sp macro="" textlink="">
      <xdr:nvSpPr>
        <xdr:cNvPr id="5845" name="Arrow: Down 5844">
          <a:extLst>
            <a:ext uri="{FF2B5EF4-FFF2-40B4-BE49-F238E27FC236}">
              <a16:creationId xmlns:a16="http://schemas.microsoft.com/office/drawing/2014/main" id="{E48549F4-1B99-47DE-8061-479C3954E0F4}"/>
            </a:ext>
          </a:extLst>
        </xdr:cNvPr>
        <xdr:cNvSpPr/>
      </xdr:nvSpPr>
      <xdr:spPr>
        <a:xfrm>
          <a:off x="21960840" y="1405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769</xdr:row>
      <xdr:rowOff>0</xdr:rowOff>
    </xdr:from>
    <xdr:to>
      <xdr:col>5</xdr:col>
      <xdr:colOff>83820</xdr:colOff>
      <xdr:row>769</xdr:row>
      <xdr:rowOff>114300</xdr:rowOff>
    </xdr:to>
    <xdr:sp macro="" textlink="">
      <xdr:nvSpPr>
        <xdr:cNvPr id="5847" name="Arrow: Down 5846">
          <a:extLst>
            <a:ext uri="{FF2B5EF4-FFF2-40B4-BE49-F238E27FC236}">
              <a16:creationId xmlns:a16="http://schemas.microsoft.com/office/drawing/2014/main" id="{3334F8CA-5C63-4A6C-88F7-1ED6FC3A0B83}"/>
            </a:ext>
          </a:extLst>
        </xdr:cNvPr>
        <xdr:cNvSpPr/>
      </xdr:nvSpPr>
      <xdr:spPr>
        <a:xfrm rot="10800000">
          <a:off x="192786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769</xdr:row>
      <xdr:rowOff>0</xdr:rowOff>
    </xdr:from>
    <xdr:to>
      <xdr:col>11</xdr:col>
      <xdr:colOff>83820</xdr:colOff>
      <xdr:row>769</xdr:row>
      <xdr:rowOff>114300</xdr:rowOff>
    </xdr:to>
    <xdr:sp macro="" textlink="">
      <xdr:nvSpPr>
        <xdr:cNvPr id="5848" name="Arrow: Down 5847">
          <a:extLst>
            <a:ext uri="{FF2B5EF4-FFF2-40B4-BE49-F238E27FC236}">
              <a16:creationId xmlns:a16="http://schemas.microsoft.com/office/drawing/2014/main" id="{2B8B1B54-8AC4-4ED0-83FD-6AF98DE8866D}"/>
            </a:ext>
          </a:extLst>
        </xdr:cNvPr>
        <xdr:cNvSpPr/>
      </xdr:nvSpPr>
      <xdr:spPr>
        <a:xfrm rot="10800000">
          <a:off x="369570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769</xdr:row>
      <xdr:rowOff>0</xdr:rowOff>
    </xdr:from>
    <xdr:to>
      <xdr:col>24</xdr:col>
      <xdr:colOff>83820</xdr:colOff>
      <xdr:row>769</xdr:row>
      <xdr:rowOff>114300</xdr:rowOff>
    </xdr:to>
    <xdr:sp macro="" textlink="">
      <xdr:nvSpPr>
        <xdr:cNvPr id="5852" name="Arrow: Down 5851">
          <a:extLst>
            <a:ext uri="{FF2B5EF4-FFF2-40B4-BE49-F238E27FC236}">
              <a16:creationId xmlns:a16="http://schemas.microsoft.com/office/drawing/2014/main" id="{741408E7-26FE-40A6-B568-BD7B2872B0D5}"/>
            </a:ext>
          </a:extLst>
        </xdr:cNvPr>
        <xdr:cNvSpPr/>
      </xdr:nvSpPr>
      <xdr:spPr>
        <a:xfrm rot="10800000">
          <a:off x="833628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769</xdr:row>
      <xdr:rowOff>0</xdr:rowOff>
    </xdr:from>
    <xdr:to>
      <xdr:col>39</xdr:col>
      <xdr:colOff>83820</xdr:colOff>
      <xdr:row>769</xdr:row>
      <xdr:rowOff>114300</xdr:rowOff>
    </xdr:to>
    <xdr:sp macro="" textlink="">
      <xdr:nvSpPr>
        <xdr:cNvPr id="5855" name="Arrow: Down 5854">
          <a:extLst>
            <a:ext uri="{FF2B5EF4-FFF2-40B4-BE49-F238E27FC236}">
              <a16:creationId xmlns:a16="http://schemas.microsoft.com/office/drawing/2014/main" id="{E7FDDBDC-F405-4577-8753-332B828CC1E1}"/>
            </a:ext>
          </a:extLst>
        </xdr:cNvPr>
        <xdr:cNvSpPr/>
      </xdr:nvSpPr>
      <xdr:spPr>
        <a:xfrm>
          <a:off x="1154430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769</xdr:row>
      <xdr:rowOff>0</xdr:rowOff>
    </xdr:from>
    <xdr:to>
      <xdr:col>60</xdr:col>
      <xdr:colOff>83820</xdr:colOff>
      <xdr:row>769</xdr:row>
      <xdr:rowOff>114300</xdr:rowOff>
    </xdr:to>
    <xdr:sp macro="" textlink="">
      <xdr:nvSpPr>
        <xdr:cNvPr id="5858" name="Arrow: Down 5857">
          <a:extLst>
            <a:ext uri="{FF2B5EF4-FFF2-40B4-BE49-F238E27FC236}">
              <a16:creationId xmlns:a16="http://schemas.microsoft.com/office/drawing/2014/main" id="{CDC78CB8-718C-44DD-BB74-055AC0E5E834}"/>
            </a:ext>
          </a:extLst>
        </xdr:cNvPr>
        <xdr:cNvSpPr/>
      </xdr:nvSpPr>
      <xdr:spPr>
        <a:xfrm rot="10800000">
          <a:off x="1908048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770</xdr:row>
      <xdr:rowOff>0</xdr:rowOff>
    </xdr:from>
    <xdr:to>
      <xdr:col>64</xdr:col>
      <xdr:colOff>83820</xdr:colOff>
      <xdr:row>770</xdr:row>
      <xdr:rowOff>114300</xdr:rowOff>
    </xdr:to>
    <xdr:sp macro="" textlink="">
      <xdr:nvSpPr>
        <xdr:cNvPr id="5871" name="Arrow: Down 5870">
          <a:extLst>
            <a:ext uri="{FF2B5EF4-FFF2-40B4-BE49-F238E27FC236}">
              <a16:creationId xmlns:a16="http://schemas.microsoft.com/office/drawing/2014/main" id="{44A8A406-F5C6-497E-8A92-60EE3BF4DAD4}"/>
            </a:ext>
          </a:extLst>
        </xdr:cNvPr>
        <xdr:cNvSpPr/>
      </xdr:nvSpPr>
      <xdr:spPr>
        <a:xfrm rot="10800000">
          <a:off x="19347180" y="140733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770</xdr:row>
      <xdr:rowOff>0</xdr:rowOff>
    </xdr:from>
    <xdr:to>
      <xdr:col>45</xdr:col>
      <xdr:colOff>83820</xdr:colOff>
      <xdr:row>770</xdr:row>
      <xdr:rowOff>114300</xdr:rowOff>
    </xdr:to>
    <xdr:sp macro="" textlink="">
      <xdr:nvSpPr>
        <xdr:cNvPr id="5872" name="Arrow: Down 5871">
          <a:extLst>
            <a:ext uri="{FF2B5EF4-FFF2-40B4-BE49-F238E27FC236}">
              <a16:creationId xmlns:a16="http://schemas.microsoft.com/office/drawing/2014/main" id="{4BADDA54-22D3-4354-88FF-5B1538BFD4A6}"/>
            </a:ext>
          </a:extLst>
        </xdr:cNvPr>
        <xdr:cNvSpPr/>
      </xdr:nvSpPr>
      <xdr:spPr>
        <a:xfrm rot="10800000">
          <a:off x="13403580" y="140733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770</xdr:row>
      <xdr:rowOff>0</xdr:rowOff>
    </xdr:from>
    <xdr:to>
      <xdr:col>71</xdr:col>
      <xdr:colOff>83820</xdr:colOff>
      <xdr:row>770</xdr:row>
      <xdr:rowOff>114300</xdr:rowOff>
    </xdr:to>
    <xdr:sp macro="" textlink="">
      <xdr:nvSpPr>
        <xdr:cNvPr id="5873" name="Arrow: Down 5872">
          <a:extLst>
            <a:ext uri="{FF2B5EF4-FFF2-40B4-BE49-F238E27FC236}">
              <a16:creationId xmlns:a16="http://schemas.microsoft.com/office/drawing/2014/main" id="{48D29C54-CFBB-4B3E-A461-66944BC60CF7}"/>
            </a:ext>
          </a:extLst>
        </xdr:cNvPr>
        <xdr:cNvSpPr/>
      </xdr:nvSpPr>
      <xdr:spPr>
        <a:xfrm>
          <a:off x="21960840" y="1407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770</xdr:row>
      <xdr:rowOff>0</xdr:rowOff>
    </xdr:from>
    <xdr:to>
      <xdr:col>5</xdr:col>
      <xdr:colOff>83820</xdr:colOff>
      <xdr:row>770</xdr:row>
      <xdr:rowOff>114300</xdr:rowOff>
    </xdr:to>
    <xdr:sp macro="" textlink="">
      <xdr:nvSpPr>
        <xdr:cNvPr id="5875" name="Arrow: Down 5874">
          <a:extLst>
            <a:ext uri="{FF2B5EF4-FFF2-40B4-BE49-F238E27FC236}">
              <a16:creationId xmlns:a16="http://schemas.microsoft.com/office/drawing/2014/main" id="{0AC07BB0-0BBF-46DF-86E1-7BFDE6186C3C}"/>
            </a:ext>
          </a:extLst>
        </xdr:cNvPr>
        <xdr:cNvSpPr/>
      </xdr:nvSpPr>
      <xdr:spPr>
        <a:xfrm rot="10800000">
          <a:off x="192786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770</xdr:row>
      <xdr:rowOff>0</xdr:rowOff>
    </xdr:from>
    <xdr:to>
      <xdr:col>11</xdr:col>
      <xdr:colOff>83820</xdr:colOff>
      <xdr:row>770</xdr:row>
      <xdr:rowOff>114300</xdr:rowOff>
    </xdr:to>
    <xdr:sp macro="" textlink="">
      <xdr:nvSpPr>
        <xdr:cNvPr id="5877" name="Arrow: Down 5876">
          <a:extLst>
            <a:ext uri="{FF2B5EF4-FFF2-40B4-BE49-F238E27FC236}">
              <a16:creationId xmlns:a16="http://schemas.microsoft.com/office/drawing/2014/main" id="{F7C5A4A6-F518-487B-B1E3-336EC1EB89BC}"/>
            </a:ext>
          </a:extLst>
        </xdr:cNvPr>
        <xdr:cNvSpPr/>
      </xdr:nvSpPr>
      <xdr:spPr>
        <a:xfrm rot="10800000">
          <a:off x="369570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770</xdr:row>
      <xdr:rowOff>0</xdr:rowOff>
    </xdr:from>
    <xdr:to>
      <xdr:col>24</xdr:col>
      <xdr:colOff>83820</xdr:colOff>
      <xdr:row>770</xdr:row>
      <xdr:rowOff>114300</xdr:rowOff>
    </xdr:to>
    <xdr:sp macro="" textlink="">
      <xdr:nvSpPr>
        <xdr:cNvPr id="5878" name="Arrow: Down 5877">
          <a:extLst>
            <a:ext uri="{FF2B5EF4-FFF2-40B4-BE49-F238E27FC236}">
              <a16:creationId xmlns:a16="http://schemas.microsoft.com/office/drawing/2014/main" id="{3D775D7F-EF08-42B7-A6B5-EA5A598ECC54}"/>
            </a:ext>
          </a:extLst>
        </xdr:cNvPr>
        <xdr:cNvSpPr/>
      </xdr:nvSpPr>
      <xdr:spPr>
        <a:xfrm rot="10800000">
          <a:off x="833628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770</xdr:row>
      <xdr:rowOff>0</xdr:rowOff>
    </xdr:from>
    <xdr:to>
      <xdr:col>39</xdr:col>
      <xdr:colOff>83820</xdr:colOff>
      <xdr:row>770</xdr:row>
      <xdr:rowOff>114300</xdr:rowOff>
    </xdr:to>
    <xdr:sp macro="" textlink="">
      <xdr:nvSpPr>
        <xdr:cNvPr id="5887" name="Arrow: Down 5886">
          <a:extLst>
            <a:ext uri="{FF2B5EF4-FFF2-40B4-BE49-F238E27FC236}">
              <a16:creationId xmlns:a16="http://schemas.microsoft.com/office/drawing/2014/main" id="{2BA5EF30-72EA-447E-BAFF-419D10366CED}"/>
            </a:ext>
          </a:extLst>
        </xdr:cNvPr>
        <xdr:cNvSpPr/>
      </xdr:nvSpPr>
      <xdr:spPr>
        <a:xfrm rot="10800000">
          <a:off x="1154430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771</xdr:row>
      <xdr:rowOff>0</xdr:rowOff>
    </xdr:from>
    <xdr:to>
      <xdr:col>64</xdr:col>
      <xdr:colOff>83820</xdr:colOff>
      <xdr:row>771</xdr:row>
      <xdr:rowOff>114300</xdr:rowOff>
    </xdr:to>
    <xdr:sp macro="" textlink="">
      <xdr:nvSpPr>
        <xdr:cNvPr id="5898" name="Arrow: Down 5897">
          <a:extLst>
            <a:ext uri="{FF2B5EF4-FFF2-40B4-BE49-F238E27FC236}">
              <a16:creationId xmlns:a16="http://schemas.microsoft.com/office/drawing/2014/main" id="{D7AA80AC-0225-4DB5-A966-A89F439BC07E}"/>
            </a:ext>
          </a:extLst>
        </xdr:cNvPr>
        <xdr:cNvSpPr/>
      </xdr:nvSpPr>
      <xdr:spPr>
        <a:xfrm rot="10800000">
          <a:off x="19392900" y="140916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771</xdr:row>
      <xdr:rowOff>0</xdr:rowOff>
    </xdr:from>
    <xdr:to>
      <xdr:col>45</xdr:col>
      <xdr:colOff>83820</xdr:colOff>
      <xdr:row>771</xdr:row>
      <xdr:rowOff>114300</xdr:rowOff>
    </xdr:to>
    <xdr:sp macro="" textlink="">
      <xdr:nvSpPr>
        <xdr:cNvPr id="5899" name="Arrow: Down 5898">
          <a:extLst>
            <a:ext uri="{FF2B5EF4-FFF2-40B4-BE49-F238E27FC236}">
              <a16:creationId xmlns:a16="http://schemas.microsoft.com/office/drawing/2014/main" id="{6B1A6962-EA4D-4DA2-A199-6CB30074F6F0}"/>
            </a:ext>
          </a:extLst>
        </xdr:cNvPr>
        <xdr:cNvSpPr/>
      </xdr:nvSpPr>
      <xdr:spPr>
        <a:xfrm rot="10800000">
          <a:off x="1340358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771</xdr:row>
      <xdr:rowOff>0</xdr:rowOff>
    </xdr:from>
    <xdr:to>
      <xdr:col>71</xdr:col>
      <xdr:colOff>83820</xdr:colOff>
      <xdr:row>771</xdr:row>
      <xdr:rowOff>114300</xdr:rowOff>
    </xdr:to>
    <xdr:sp macro="" textlink="">
      <xdr:nvSpPr>
        <xdr:cNvPr id="5908" name="Arrow: Down 5907">
          <a:extLst>
            <a:ext uri="{FF2B5EF4-FFF2-40B4-BE49-F238E27FC236}">
              <a16:creationId xmlns:a16="http://schemas.microsoft.com/office/drawing/2014/main" id="{03EE152C-7D06-4509-8790-BD5989703570}"/>
            </a:ext>
          </a:extLst>
        </xdr:cNvPr>
        <xdr:cNvSpPr/>
      </xdr:nvSpPr>
      <xdr:spPr>
        <a:xfrm>
          <a:off x="22006560" y="1409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771</xdr:row>
      <xdr:rowOff>0</xdr:rowOff>
    </xdr:from>
    <xdr:to>
      <xdr:col>39</xdr:col>
      <xdr:colOff>83820</xdr:colOff>
      <xdr:row>771</xdr:row>
      <xdr:rowOff>114300</xdr:rowOff>
    </xdr:to>
    <xdr:sp macro="" textlink="">
      <xdr:nvSpPr>
        <xdr:cNvPr id="5913" name="Arrow: Down 5912">
          <a:extLst>
            <a:ext uri="{FF2B5EF4-FFF2-40B4-BE49-F238E27FC236}">
              <a16:creationId xmlns:a16="http://schemas.microsoft.com/office/drawing/2014/main" id="{1915D866-5D2A-4D3F-AD17-177278359C9D}"/>
            </a:ext>
          </a:extLst>
        </xdr:cNvPr>
        <xdr:cNvSpPr/>
      </xdr:nvSpPr>
      <xdr:spPr>
        <a:xfrm rot="10800000">
          <a:off x="1154430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772</xdr:row>
      <xdr:rowOff>0</xdr:rowOff>
    </xdr:from>
    <xdr:to>
      <xdr:col>64</xdr:col>
      <xdr:colOff>83820</xdr:colOff>
      <xdr:row>772</xdr:row>
      <xdr:rowOff>114300</xdr:rowOff>
    </xdr:to>
    <xdr:sp macro="" textlink="">
      <xdr:nvSpPr>
        <xdr:cNvPr id="5937" name="Arrow: Down 5936">
          <a:extLst>
            <a:ext uri="{FF2B5EF4-FFF2-40B4-BE49-F238E27FC236}">
              <a16:creationId xmlns:a16="http://schemas.microsoft.com/office/drawing/2014/main" id="{08A09060-D1E5-497E-911E-F1DDD15A4598}"/>
            </a:ext>
          </a:extLst>
        </xdr:cNvPr>
        <xdr:cNvSpPr/>
      </xdr:nvSpPr>
      <xdr:spPr>
        <a:xfrm rot="10800000">
          <a:off x="19392900" y="141099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772</xdr:row>
      <xdr:rowOff>0</xdr:rowOff>
    </xdr:from>
    <xdr:to>
      <xdr:col>45</xdr:col>
      <xdr:colOff>83820</xdr:colOff>
      <xdr:row>772</xdr:row>
      <xdr:rowOff>114300</xdr:rowOff>
    </xdr:to>
    <xdr:sp macro="" textlink="">
      <xdr:nvSpPr>
        <xdr:cNvPr id="5939" name="Arrow: Down 5938">
          <a:extLst>
            <a:ext uri="{FF2B5EF4-FFF2-40B4-BE49-F238E27FC236}">
              <a16:creationId xmlns:a16="http://schemas.microsoft.com/office/drawing/2014/main" id="{BF1FB5FD-1584-4AF6-A4DB-0AA83A7671E7}"/>
            </a:ext>
          </a:extLst>
        </xdr:cNvPr>
        <xdr:cNvSpPr/>
      </xdr:nvSpPr>
      <xdr:spPr>
        <a:xfrm rot="10800000">
          <a:off x="13403580" y="14109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772</xdr:row>
      <xdr:rowOff>0</xdr:rowOff>
    </xdr:from>
    <xdr:to>
      <xdr:col>71</xdr:col>
      <xdr:colOff>83820</xdr:colOff>
      <xdr:row>772</xdr:row>
      <xdr:rowOff>114300</xdr:rowOff>
    </xdr:to>
    <xdr:sp macro="" textlink="">
      <xdr:nvSpPr>
        <xdr:cNvPr id="5940" name="Arrow: Down 5939">
          <a:extLst>
            <a:ext uri="{FF2B5EF4-FFF2-40B4-BE49-F238E27FC236}">
              <a16:creationId xmlns:a16="http://schemas.microsoft.com/office/drawing/2014/main" id="{9E95A3F1-6613-4439-A48B-840621547AD4}"/>
            </a:ext>
          </a:extLst>
        </xdr:cNvPr>
        <xdr:cNvSpPr/>
      </xdr:nvSpPr>
      <xdr:spPr>
        <a:xfrm>
          <a:off x="2200656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772</xdr:row>
      <xdr:rowOff>0</xdr:rowOff>
    </xdr:from>
    <xdr:to>
      <xdr:col>5</xdr:col>
      <xdr:colOff>83820</xdr:colOff>
      <xdr:row>772</xdr:row>
      <xdr:rowOff>114300</xdr:rowOff>
    </xdr:to>
    <xdr:sp macro="" textlink="">
      <xdr:nvSpPr>
        <xdr:cNvPr id="5941" name="Arrow: Down 5940">
          <a:extLst>
            <a:ext uri="{FF2B5EF4-FFF2-40B4-BE49-F238E27FC236}">
              <a16:creationId xmlns:a16="http://schemas.microsoft.com/office/drawing/2014/main" id="{34CA701A-5821-4414-AC0A-D8E78A11EF62}"/>
            </a:ext>
          </a:extLst>
        </xdr:cNvPr>
        <xdr:cNvSpPr/>
      </xdr:nvSpPr>
      <xdr:spPr>
        <a:xfrm rot="10800000">
          <a:off x="192786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772</xdr:row>
      <xdr:rowOff>0</xdr:rowOff>
    </xdr:from>
    <xdr:to>
      <xdr:col>11</xdr:col>
      <xdr:colOff>83820</xdr:colOff>
      <xdr:row>772</xdr:row>
      <xdr:rowOff>114300</xdr:rowOff>
    </xdr:to>
    <xdr:sp macro="" textlink="">
      <xdr:nvSpPr>
        <xdr:cNvPr id="5942" name="Arrow: Down 5941">
          <a:extLst>
            <a:ext uri="{FF2B5EF4-FFF2-40B4-BE49-F238E27FC236}">
              <a16:creationId xmlns:a16="http://schemas.microsoft.com/office/drawing/2014/main" id="{41B130EE-889C-4C9E-8C4A-6965E76FC694}"/>
            </a:ext>
          </a:extLst>
        </xdr:cNvPr>
        <xdr:cNvSpPr/>
      </xdr:nvSpPr>
      <xdr:spPr>
        <a:xfrm rot="10800000">
          <a:off x="369570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772</xdr:row>
      <xdr:rowOff>0</xdr:rowOff>
    </xdr:from>
    <xdr:to>
      <xdr:col>24</xdr:col>
      <xdr:colOff>83820</xdr:colOff>
      <xdr:row>772</xdr:row>
      <xdr:rowOff>114300</xdr:rowOff>
    </xdr:to>
    <xdr:sp macro="" textlink="">
      <xdr:nvSpPr>
        <xdr:cNvPr id="5943" name="Arrow: Down 5942">
          <a:extLst>
            <a:ext uri="{FF2B5EF4-FFF2-40B4-BE49-F238E27FC236}">
              <a16:creationId xmlns:a16="http://schemas.microsoft.com/office/drawing/2014/main" id="{445BF383-29CB-4A2A-BB1D-B474B1A170AE}"/>
            </a:ext>
          </a:extLst>
        </xdr:cNvPr>
        <xdr:cNvSpPr/>
      </xdr:nvSpPr>
      <xdr:spPr>
        <a:xfrm rot="10800000">
          <a:off x="833628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772</xdr:row>
      <xdr:rowOff>0</xdr:rowOff>
    </xdr:from>
    <xdr:to>
      <xdr:col>39</xdr:col>
      <xdr:colOff>83820</xdr:colOff>
      <xdr:row>772</xdr:row>
      <xdr:rowOff>114300</xdr:rowOff>
    </xdr:to>
    <xdr:sp macro="" textlink="">
      <xdr:nvSpPr>
        <xdr:cNvPr id="5945" name="Arrow: Down 5944">
          <a:extLst>
            <a:ext uri="{FF2B5EF4-FFF2-40B4-BE49-F238E27FC236}">
              <a16:creationId xmlns:a16="http://schemas.microsoft.com/office/drawing/2014/main" id="{1A8FC526-F773-4E7D-B75B-6289E29B41D1}"/>
            </a:ext>
          </a:extLst>
        </xdr:cNvPr>
        <xdr:cNvSpPr/>
      </xdr:nvSpPr>
      <xdr:spPr>
        <a:xfrm rot="10800000">
          <a:off x="11544300" y="14109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771</xdr:row>
      <xdr:rowOff>0</xdr:rowOff>
    </xdr:from>
    <xdr:to>
      <xdr:col>5</xdr:col>
      <xdr:colOff>83820</xdr:colOff>
      <xdr:row>771</xdr:row>
      <xdr:rowOff>114300</xdr:rowOff>
    </xdr:to>
    <xdr:sp macro="" textlink="">
      <xdr:nvSpPr>
        <xdr:cNvPr id="5950" name="Arrow: Down 5949">
          <a:extLst>
            <a:ext uri="{FF2B5EF4-FFF2-40B4-BE49-F238E27FC236}">
              <a16:creationId xmlns:a16="http://schemas.microsoft.com/office/drawing/2014/main" id="{DC1B01FB-EAB7-4E8F-9768-29E8CB04C416}"/>
            </a:ext>
          </a:extLst>
        </xdr:cNvPr>
        <xdr:cNvSpPr/>
      </xdr:nvSpPr>
      <xdr:spPr>
        <a:xfrm>
          <a:off x="192786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771</xdr:row>
      <xdr:rowOff>0</xdr:rowOff>
    </xdr:from>
    <xdr:to>
      <xdr:col>11</xdr:col>
      <xdr:colOff>83820</xdr:colOff>
      <xdr:row>771</xdr:row>
      <xdr:rowOff>114300</xdr:rowOff>
    </xdr:to>
    <xdr:sp macro="" textlink="">
      <xdr:nvSpPr>
        <xdr:cNvPr id="5953" name="Arrow: Down 5952">
          <a:extLst>
            <a:ext uri="{FF2B5EF4-FFF2-40B4-BE49-F238E27FC236}">
              <a16:creationId xmlns:a16="http://schemas.microsoft.com/office/drawing/2014/main" id="{0AC7AE1B-E258-45CC-A2A1-E6C81C155399}"/>
            </a:ext>
          </a:extLst>
        </xdr:cNvPr>
        <xdr:cNvSpPr/>
      </xdr:nvSpPr>
      <xdr:spPr>
        <a:xfrm>
          <a:off x="369570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771</xdr:row>
      <xdr:rowOff>0</xdr:rowOff>
    </xdr:from>
    <xdr:to>
      <xdr:col>24</xdr:col>
      <xdr:colOff>83820</xdr:colOff>
      <xdr:row>771</xdr:row>
      <xdr:rowOff>114300</xdr:rowOff>
    </xdr:to>
    <xdr:sp macro="" textlink="">
      <xdr:nvSpPr>
        <xdr:cNvPr id="5954" name="Arrow: Down 5953">
          <a:extLst>
            <a:ext uri="{FF2B5EF4-FFF2-40B4-BE49-F238E27FC236}">
              <a16:creationId xmlns:a16="http://schemas.microsoft.com/office/drawing/2014/main" id="{C77B74E3-6A5A-472A-A530-C352C2C5B0E8}"/>
            </a:ext>
          </a:extLst>
        </xdr:cNvPr>
        <xdr:cNvSpPr/>
      </xdr:nvSpPr>
      <xdr:spPr>
        <a:xfrm>
          <a:off x="833628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773</xdr:row>
      <xdr:rowOff>0</xdr:rowOff>
    </xdr:from>
    <xdr:to>
      <xdr:col>64</xdr:col>
      <xdr:colOff>83820</xdr:colOff>
      <xdr:row>773</xdr:row>
      <xdr:rowOff>114300</xdr:rowOff>
    </xdr:to>
    <xdr:sp macro="" textlink="">
      <xdr:nvSpPr>
        <xdr:cNvPr id="5959" name="Arrow: Down 5958">
          <a:extLst>
            <a:ext uri="{FF2B5EF4-FFF2-40B4-BE49-F238E27FC236}">
              <a16:creationId xmlns:a16="http://schemas.microsoft.com/office/drawing/2014/main" id="{8C9AD681-440B-4F3D-A30A-D951ABB39E8F}"/>
            </a:ext>
          </a:extLst>
        </xdr:cNvPr>
        <xdr:cNvSpPr/>
      </xdr:nvSpPr>
      <xdr:spPr>
        <a:xfrm rot="10800000">
          <a:off x="19392900" y="141282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773</xdr:row>
      <xdr:rowOff>0</xdr:rowOff>
    </xdr:from>
    <xdr:to>
      <xdr:col>45</xdr:col>
      <xdr:colOff>83820</xdr:colOff>
      <xdr:row>773</xdr:row>
      <xdr:rowOff>114300</xdr:rowOff>
    </xdr:to>
    <xdr:sp macro="" textlink="">
      <xdr:nvSpPr>
        <xdr:cNvPr id="5961" name="Arrow: Down 5960">
          <a:extLst>
            <a:ext uri="{FF2B5EF4-FFF2-40B4-BE49-F238E27FC236}">
              <a16:creationId xmlns:a16="http://schemas.microsoft.com/office/drawing/2014/main" id="{0D635E8E-B8CC-4658-B02F-84EA6A6F0D64}"/>
            </a:ext>
          </a:extLst>
        </xdr:cNvPr>
        <xdr:cNvSpPr/>
      </xdr:nvSpPr>
      <xdr:spPr>
        <a:xfrm rot="10800000">
          <a:off x="13403580" y="141282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770</xdr:row>
      <xdr:rowOff>0</xdr:rowOff>
    </xdr:from>
    <xdr:to>
      <xdr:col>60</xdr:col>
      <xdr:colOff>83820</xdr:colOff>
      <xdr:row>770</xdr:row>
      <xdr:rowOff>114300</xdr:rowOff>
    </xdr:to>
    <xdr:sp macro="" textlink="">
      <xdr:nvSpPr>
        <xdr:cNvPr id="5977" name="Arrow: Down 5976">
          <a:extLst>
            <a:ext uri="{FF2B5EF4-FFF2-40B4-BE49-F238E27FC236}">
              <a16:creationId xmlns:a16="http://schemas.microsoft.com/office/drawing/2014/main" id="{60839F0B-D3A8-4801-BF88-9FAC46A227B6}"/>
            </a:ext>
          </a:extLst>
        </xdr:cNvPr>
        <xdr:cNvSpPr/>
      </xdr:nvSpPr>
      <xdr:spPr>
        <a:xfrm>
          <a:off x="19126200" y="1409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771</xdr:row>
      <xdr:rowOff>0</xdr:rowOff>
    </xdr:from>
    <xdr:to>
      <xdr:col>60</xdr:col>
      <xdr:colOff>83820</xdr:colOff>
      <xdr:row>771</xdr:row>
      <xdr:rowOff>114300</xdr:rowOff>
    </xdr:to>
    <xdr:sp macro="" textlink="">
      <xdr:nvSpPr>
        <xdr:cNvPr id="5979" name="Arrow: Down 5978">
          <a:extLst>
            <a:ext uri="{FF2B5EF4-FFF2-40B4-BE49-F238E27FC236}">
              <a16:creationId xmlns:a16="http://schemas.microsoft.com/office/drawing/2014/main" id="{6C2F5CC2-044B-4791-AA03-278DD8A1A8EC}"/>
            </a:ext>
          </a:extLst>
        </xdr:cNvPr>
        <xdr:cNvSpPr/>
      </xdr:nvSpPr>
      <xdr:spPr>
        <a:xfrm>
          <a:off x="1912620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772</xdr:row>
      <xdr:rowOff>0</xdr:rowOff>
    </xdr:from>
    <xdr:to>
      <xdr:col>60</xdr:col>
      <xdr:colOff>83820</xdr:colOff>
      <xdr:row>772</xdr:row>
      <xdr:rowOff>114300</xdr:rowOff>
    </xdr:to>
    <xdr:sp macro="" textlink="">
      <xdr:nvSpPr>
        <xdr:cNvPr id="5981" name="Arrow: Down 5980">
          <a:extLst>
            <a:ext uri="{FF2B5EF4-FFF2-40B4-BE49-F238E27FC236}">
              <a16:creationId xmlns:a16="http://schemas.microsoft.com/office/drawing/2014/main" id="{6E70DBB4-D70D-408E-A3DC-E4F3D3D80A1A}"/>
            </a:ext>
          </a:extLst>
        </xdr:cNvPr>
        <xdr:cNvSpPr/>
      </xdr:nvSpPr>
      <xdr:spPr>
        <a:xfrm rot="10800000">
          <a:off x="19126200" y="1412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773</xdr:row>
      <xdr:rowOff>0</xdr:rowOff>
    </xdr:from>
    <xdr:to>
      <xdr:col>60</xdr:col>
      <xdr:colOff>83820</xdr:colOff>
      <xdr:row>773</xdr:row>
      <xdr:rowOff>114300</xdr:rowOff>
    </xdr:to>
    <xdr:sp macro="" textlink="">
      <xdr:nvSpPr>
        <xdr:cNvPr id="5982" name="Arrow: Down 5981">
          <a:extLst>
            <a:ext uri="{FF2B5EF4-FFF2-40B4-BE49-F238E27FC236}">
              <a16:creationId xmlns:a16="http://schemas.microsoft.com/office/drawing/2014/main" id="{B2E87465-4A66-4E9D-BC62-C88F0E52D40D}"/>
            </a:ext>
          </a:extLst>
        </xdr:cNvPr>
        <xdr:cNvSpPr/>
      </xdr:nvSpPr>
      <xdr:spPr>
        <a:xfrm rot="10800000">
          <a:off x="191262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773</xdr:row>
      <xdr:rowOff>0</xdr:rowOff>
    </xdr:from>
    <xdr:to>
      <xdr:col>71</xdr:col>
      <xdr:colOff>83820</xdr:colOff>
      <xdr:row>773</xdr:row>
      <xdr:rowOff>114300</xdr:rowOff>
    </xdr:to>
    <xdr:sp macro="" textlink="">
      <xdr:nvSpPr>
        <xdr:cNvPr id="5983" name="Arrow: Down 5982">
          <a:extLst>
            <a:ext uri="{FF2B5EF4-FFF2-40B4-BE49-F238E27FC236}">
              <a16:creationId xmlns:a16="http://schemas.microsoft.com/office/drawing/2014/main" id="{31AF7873-B23B-4897-8081-82EB9F3FE9E3}"/>
            </a:ext>
          </a:extLst>
        </xdr:cNvPr>
        <xdr:cNvSpPr/>
      </xdr:nvSpPr>
      <xdr:spPr>
        <a:xfrm rot="10800000">
          <a:off x="2200656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773</xdr:row>
      <xdr:rowOff>0</xdr:rowOff>
    </xdr:from>
    <xdr:to>
      <xdr:col>39</xdr:col>
      <xdr:colOff>83820</xdr:colOff>
      <xdr:row>773</xdr:row>
      <xdr:rowOff>114300</xdr:rowOff>
    </xdr:to>
    <xdr:sp macro="" textlink="">
      <xdr:nvSpPr>
        <xdr:cNvPr id="5985" name="Arrow: Down 5984">
          <a:extLst>
            <a:ext uri="{FF2B5EF4-FFF2-40B4-BE49-F238E27FC236}">
              <a16:creationId xmlns:a16="http://schemas.microsoft.com/office/drawing/2014/main" id="{38FB0CB0-1E56-4990-8297-38F6CD536E0D}"/>
            </a:ext>
          </a:extLst>
        </xdr:cNvPr>
        <xdr:cNvSpPr/>
      </xdr:nvSpPr>
      <xdr:spPr>
        <a:xfrm>
          <a:off x="115443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773</xdr:row>
      <xdr:rowOff>0</xdr:rowOff>
    </xdr:from>
    <xdr:to>
      <xdr:col>24</xdr:col>
      <xdr:colOff>83820</xdr:colOff>
      <xdr:row>773</xdr:row>
      <xdr:rowOff>114300</xdr:rowOff>
    </xdr:to>
    <xdr:sp macro="" textlink="">
      <xdr:nvSpPr>
        <xdr:cNvPr id="5987" name="Arrow: Down 5986">
          <a:extLst>
            <a:ext uri="{FF2B5EF4-FFF2-40B4-BE49-F238E27FC236}">
              <a16:creationId xmlns:a16="http://schemas.microsoft.com/office/drawing/2014/main" id="{4C10ACC4-B2C2-4896-AA55-C7F8BD92DD5B}"/>
            </a:ext>
          </a:extLst>
        </xdr:cNvPr>
        <xdr:cNvSpPr/>
      </xdr:nvSpPr>
      <xdr:spPr>
        <a:xfrm>
          <a:off x="833628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773</xdr:row>
      <xdr:rowOff>0</xdr:rowOff>
    </xdr:from>
    <xdr:to>
      <xdr:col>11</xdr:col>
      <xdr:colOff>83820</xdr:colOff>
      <xdr:row>773</xdr:row>
      <xdr:rowOff>114300</xdr:rowOff>
    </xdr:to>
    <xdr:sp macro="" textlink="">
      <xdr:nvSpPr>
        <xdr:cNvPr id="5988" name="Arrow: Down 5987">
          <a:extLst>
            <a:ext uri="{FF2B5EF4-FFF2-40B4-BE49-F238E27FC236}">
              <a16:creationId xmlns:a16="http://schemas.microsoft.com/office/drawing/2014/main" id="{38D7382D-88F2-4B3B-BA8E-790BB0EAB4D4}"/>
            </a:ext>
          </a:extLst>
        </xdr:cNvPr>
        <xdr:cNvSpPr/>
      </xdr:nvSpPr>
      <xdr:spPr>
        <a:xfrm>
          <a:off x="369570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773</xdr:row>
      <xdr:rowOff>0</xdr:rowOff>
    </xdr:from>
    <xdr:to>
      <xdr:col>5</xdr:col>
      <xdr:colOff>83820</xdr:colOff>
      <xdr:row>773</xdr:row>
      <xdr:rowOff>114300</xdr:rowOff>
    </xdr:to>
    <xdr:sp macro="" textlink="">
      <xdr:nvSpPr>
        <xdr:cNvPr id="5989" name="Arrow: Down 5988">
          <a:extLst>
            <a:ext uri="{FF2B5EF4-FFF2-40B4-BE49-F238E27FC236}">
              <a16:creationId xmlns:a16="http://schemas.microsoft.com/office/drawing/2014/main" id="{B8D36688-209F-4F93-9D0E-01F824FE13B5}"/>
            </a:ext>
          </a:extLst>
        </xdr:cNvPr>
        <xdr:cNvSpPr/>
      </xdr:nvSpPr>
      <xdr:spPr>
        <a:xfrm>
          <a:off x="192786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774</xdr:row>
      <xdr:rowOff>0</xdr:rowOff>
    </xdr:from>
    <xdr:to>
      <xdr:col>64</xdr:col>
      <xdr:colOff>83820</xdr:colOff>
      <xdr:row>774</xdr:row>
      <xdr:rowOff>114300</xdr:rowOff>
    </xdr:to>
    <xdr:sp macro="" textlink="">
      <xdr:nvSpPr>
        <xdr:cNvPr id="5998" name="Arrow: Down 5997">
          <a:extLst>
            <a:ext uri="{FF2B5EF4-FFF2-40B4-BE49-F238E27FC236}">
              <a16:creationId xmlns:a16="http://schemas.microsoft.com/office/drawing/2014/main" id="{EDD88D5D-D03A-461A-963A-896C9DF13A90}"/>
            </a:ext>
          </a:extLst>
        </xdr:cNvPr>
        <xdr:cNvSpPr/>
      </xdr:nvSpPr>
      <xdr:spPr>
        <a:xfrm rot="10800000">
          <a:off x="19392900" y="141465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774</xdr:row>
      <xdr:rowOff>0</xdr:rowOff>
    </xdr:from>
    <xdr:to>
      <xdr:col>45</xdr:col>
      <xdr:colOff>83820</xdr:colOff>
      <xdr:row>774</xdr:row>
      <xdr:rowOff>114300</xdr:rowOff>
    </xdr:to>
    <xdr:sp macro="" textlink="">
      <xdr:nvSpPr>
        <xdr:cNvPr id="5999" name="Arrow: Down 5998">
          <a:extLst>
            <a:ext uri="{FF2B5EF4-FFF2-40B4-BE49-F238E27FC236}">
              <a16:creationId xmlns:a16="http://schemas.microsoft.com/office/drawing/2014/main" id="{BEE2EB3B-4EEA-41DC-B9C7-6E0F6BE0A85E}"/>
            </a:ext>
          </a:extLst>
        </xdr:cNvPr>
        <xdr:cNvSpPr/>
      </xdr:nvSpPr>
      <xdr:spPr>
        <a:xfrm rot="10800000">
          <a:off x="13403580" y="141465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774</xdr:row>
      <xdr:rowOff>0</xdr:rowOff>
    </xdr:from>
    <xdr:to>
      <xdr:col>39</xdr:col>
      <xdr:colOff>83820</xdr:colOff>
      <xdr:row>774</xdr:row>
      <xdr:rowOff>114300</xdr:rowOff>
    </xdr:to>
    <xdr:sp macro="" textlink="">
      <xdr:nvSpPr>
        <xdr:cNvPr id="6002" name="Arrow: Down 6001">
          <a:extLst>
            <a:ext uri="{FF2B5EF4-FFF2-40B4-BE49-F238E27FC236}">
              <a16:creationId xmlns:a16="http://schemas.microsoft.com/office/drawing/2014/main" id="{85D785A4-3FDC-4486-BF70-3F5068652CEB}"/>
            </a:ext>
          </a:extLst>
        </xdr:cNvPr>
        <xdr:cNvSpPr/>
      </xdr:nvSpPr>
      <xdr:spPr>
        <a:xfrm>
          <a:off x="115443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774</xdr:row>
      <xdr:rowOff>0</xdr:rowOff>
    </xdr:from>
    <xdr:to>
      <xdr:col>24</xdr:col>
      <xdr:colOff>83820</xdr:colOff>
      <xdr:row>774</xdr:row>
      <xdr:rowOff>114300</xdr:rowOff>
    </xdr:to>
    <xdr:sp macro="" textlink="">
      <xdr:nvSpPr>
        <xdr:cNvPr id="6003" name="Arrow: Down 6002">
          <a:extLst>
            <a:ext uri="{FF2B5EF4-FFF2-40B4-BE49-F238E27FC236}">
              <a16:creationId xmlns:a16="http://schemas.microsoft.com/office/drawing/2014/main" id="{F6EAAD92-7714-4476-A80F-60EF7F87C8FF}"/>
            </a:ext>
          </a:extLst>
        </xdr:cNvPr>
        <xdr:cNvSpPr/>
      </xdr:nvSpPr>
      <xdr:spPr>
        <a:xfrm>
          <a:off x="833628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774</xdr:row>
      <xdr:rowOff>0</xdr:rowOff>
    </xdr:from>
    <xdr:to>
      <xdr:col>11</xdr:col>
      <xdr:colOff>83820</xdr:colOff>
      <xdr:row>774</xdr:row>
      <xdr:rowOff>114300</xdr:rowOff>
    </xdr:to>
    <xdr:sp macro="" textlink="">
      <xdr:nvSpPr>
        <xdr:cNvPr id="6004" name="Arrow: Down 6003">
          <a:extLst>
            <a:ext uri="{FF2B5EF4-FFF2-40B4-BE49-F238E27FC236}">
              <a16:creationId xmlns:a16="http://schemas.microsoft.com/office/drawing/2014/main" id="{2FCA1450-31F5-4F29-B2D3-24684006F124}"/>
            </a:ext>
          </a:extLst>
        </xdr:cNvPr>
        <xdr:cNvSpPr/>
      </xdr:nvSpPr>
      <xdr:spPr>
        <a:xfrm>
          <a:off x="369570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774</xdr:row>
      <xdr:rowOff>0</xdr:rowOff>
    </xdr:from>
    <xdr:to>
      <xdr:col>5</xdr:col>
      <xdr:colOff>83820</xdr:colOff>
      <xdr:row>774</xdr:row>
      <xdr:rowOff>114300</xdr:rowOff>
    </xdr:to>
    <xdr:sp macro="" textlink="">
      <xdr:nvSpPr>
        <xdr:cNvPr id="6005" name="Arrow: Down 6004">
          <a:extLst>
            <a:ext uri="{FF2B5EF4-FFF2-40B4-BE49-F238E27FC236}">
              <a16:creationId xmlns:a16="http://schemas.microsoft.com/office/drawing/2014/main" id="{62F17F14-158E-4A36-8BC4-59E6382A5207}"/>
            </a:ext>
          </a:extLst>
        </xdr:cNvPr>
        <xdr:cNvSpPr/>
      </xdr:nvSpPr>
      <xdr:spPr>
        <a:xfrm>
          <a:off x="192786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774</xdr:row>
      <xdr:rowOff>0</xdr:rowOff>
    </xdr:from>
    <xdr:to>
      <xdr:col>71</xdr:col>
      <xdr:colOff>83820</xdr:colOff>
      <xdr:row>774</xdr:row>
      <xdr:rowOff>114300</xdr:rowOff>
    </xdr:to>
    <xdr:sp macro="" textlink="">
      <xdr:nvSpPr>
        <xdr:cNvPr id="6007" name="Arrow: Down 6006">
          <a:extLst>
            <a:ext uri="{FF2B5EF4-FFF2-40B4-BE49-F238E27FC236}">
              <a16:creationId xmlns:a16="http://schemas.microsoft.com/office/drawing/2014/main" id="{59F587CC-8ED2-4645-B055-33AEB6EFD851}"/>
            </a:ext>
          </a:extLst>
        </xdr:cNvPr>
        <xdr:cNvSpPr/>
      </xdr:nvSpPr>
      <xdr:spPr>
        <a:xfrm>
          <a:off x="2200656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774</xdr:row>
      <xdr:rowOff>0</xdr:rowOff>
    </xdr:from>
    <xdr:to>
      <xdr:col>60</xdr:col>
      <xdr:colOff>83820</xdr:colOff>
      <xdr:row>774</xdr:row>
      <xdr:rowOff>114300</xdr:rowOff>
    </xdr:to>
    <xdr:sp macro="" textlink="">
      <xdr:nvSpPr>
        <xdr:cNvPr id="6009" name="Arrow: Down 6008">
          <a:extLst>
            <a:ext uri="{FF2B5EF4-FFF2-40B4-BE49-F238E27FC236}">
              <a16:creationId xmlns:a16="http://schemas.microsoft.com/office/drawing/2014/main" id="{C94DDD75-11A1-4D16-9FB7-7C09FAE5FA23}"/>
            </a:ext>
          </a:extLst>
        </xdr:cNvPr>
        <xdr:cNvSpPr/>
      </xdr:nvSpPr>
      <xdr:spPr>
        <a:xfrm>
          <a:off x="1912620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775</xdr:row>
      <xdr:rowOff>0</xdr:rowOff>
    </xdr:from>
    <xdr:to>
      <xdr:col>64</xdr:col>
      <xdr:colOff>83820</xdr:colOff>
      <xdr:row>775</xdr:row>
      <xdr:rowOff>114300</xdr:rowOff>
    </xdr:to>
    <xdr:sp macro="" textlink="">
      <xdr:nvSpPr>
        <xdr:cNvPr id="5570" name="Arrow: Down 5569">
          <a:extLst>
            <a:ext uri="{FF2B5EF4-FFF2-40B4-BE49-F238E27FC236}">
              <a16:creationId xmlns:a16="http://schemas.microsoft.com/office/drawing/2014/main" id="{CE1EF110-1F44-4D67-B2F0-8C688D71B63D}"/>
            </a:ext>
          </a:extLst>
        </xdr:cNvPr>
        <xdr:cNvSpPr/>
      </xdr:nvSpPr>
      <xdr:spPr>
        <a:xfrm rot="10800000">
          <a:off x="19392900" y="141648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775</xdr:row>
      <xdr:rowOff>0</xdr:rowOff>
    </xdr:from>
    <xdr:to>
      <xdr:col>45</xdr:col>
      <xdr:colOff>83820</xdr:colOff>
      <xdr:row>775</xdr:row>
      <xdr:rowOff>114300</xdr:rowOff>
    </xdr:to>
    <xdr:sp macro="" textlink="">
      <xdr:nvSpPr>
        <xdr:cNvPr id="5577" name="Arrow: Down 5576">
          <a:extLst>
            <a:ext uri="{FF2B5EF4-FFF2-40B4-BE49-F238E27FC236}">
              <a16:creationId xmlns:a16="http://schemas.microsoft.com/office/drawing/2014/main" id="{8A1FE520-D4AC-4434-BA28-1C69AFF6ABF2}"/>
            </a:ext>
          </a:extLst>
        </xdr:cNvPr>
        <xdr:cNvSpPr/>
      </xdr:nvSpPr>
      <xdr:spPr>
        <a:xfrm rot="10800000">
          <a:off x="13403580" y="14164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775</xdr:row>
      <xdr:rowOff>0</xdr:rowOff>
    </xdr:from>
    <xdr:to>
      <xdr:col>71</xdr:col>
      <xdr:colOff>83820</xdr:colOff>
      <xdr:row>775</xdr:row>
      <xdr:rowOff>114300</xdr:rowOff>
    </xdr:to>
    <xdr:sp macro="" textlink="">
      <xdr:nvSpPr>
        <xdr:cNvPr id="5653" name="Arrow: Down 5652">
          <a:extLst>
            <a:ext uri="{FF2B5EF4-FFF2-40B4-BE49-F238E27FC236}">
              <a16:creationId xmlns:a16="http://schemas.microsoft.com/office/drawing/2014/main" id="{B68940FC-4DC6-47B4-B599-98EEC97DA055}"/>
            </a:ext>
          </a:extLst>
        </xdr:cNvPr>
        <xdr:cNvSpPr/>
      </xdr:nvSpPr>
      <xdr:spPr>
        <a:xfrm>
          <a:off x="2200656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775</xdr:row>
      <xdr:rowOff>0</xdr:rowOff>
    </xdr:from>
    <xdr:to>
      <xdr:col>60</xdr:col>
      <xdr:colOff>83820</xdr:colOff>
      <xdr:row>775</xdr:row>
      <xdr:rowOff>114300</xdr:rowOff>
    </xdr:to>
    <xdr:sp macro="" textlink="">
      <xdr:nvSpPr>
        <xdr:cNvPr id="5655" name="Arrow: Down 5654">
          <a:extLst>
            <a:ext uri="{FF2B5EF4-FFF2-40B4-BE49-F238E27FC236}">
              <a16:creationId xmlns:a16="http://schemas.microsoft.com/office/drawing/2014/main" id="{38601FB3-ACA9-4F85-AF4D-768FCC3E3086}"/>
            </a:ext>
          </a:extLst>
        </xdr:cNvPr>
        <xdr:cNvSpPr/>
      </xdr:nvSpPr>
      <xdr:spPr>
        <a:xfrm>
          <a:off x="1912620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775</xdr:row>
      <xdr:rowOff>0</xdr:rowOff>
    </xdr:from>
    <xdr:to>
      <xdr:col>11</xdr:col>
      <xdr:colOff>83820</xdr:colOff>
      <xdr:row>775</xdr:row>
      <xdr:rowOff>114300</xdr:rowOff>
    </xdr:to>
    <xdr:sp macro="" textlink="">
      <xdr:nvSpPr>
        <xdr:cNvPr id="5662" name="Arrow: Down 5661">
          <a:extLst>
            <a:ext uri="{FF2B5EF4-FFF2-40B4-BE49-F238E27FC236}">
              <a16:creationId xmlns:a16="http://schemas.microsoft.com/office/drawing/2014/main" id="{882BE213-CA9A-4C5D-9783-B099114ACBF0}"/>
            </a:ext>
          </a:extLst>
        </xdr:cNvPr>
        <xdr:cNvSpPr/>
      </xdr:nvSpPr>
      <xdr:spPr>
        <a:xfrm rot="10800000">
          <a:off x="369570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775</xdr:row>
      <xdr:rowOff>0</xdr:rowOff>
    </xdr:from>
    <xdr:to>
      <xdr:col>5</xdr:col>
      <xdr:colOff>83820</xdr:colOff>
      <xdr:row>775</xdr:row>
      <xdr:rowOff>114300</xdr:rowOff>
    </xdr:to>
    <xdr:sp macro="" textlink="">
      <xdr:nvSpPr>
        <xdr:cNvPr id="5663" name="Arrow: Down 5662">
          <a:extLst>
            <a:ext uri="{FF2B5EF4-FFF2-40B4-BE49-F238E27FC236}">
              <a16:creationId xmlns:a16="http://schemas.microsoft.com/office/drawing/2014/main" id="{E8B0C9EE-0DC6-4CEF-87C9-CDCF13695524}"/>
            </a:ext>
          </a:extLst>
        </xdr:cNvPr>
        <xdr:cNvSpPr/>
      </xdr:nvSpPr>
      <xdr:spPr>
        <a:xfrm rot="10800000">
          <a:off x="192786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775</xdr:row>
      <xdr:rowOff>0</xdr:rowOff>
    </xdr:from>
    <xdr:to>
      <xdr:col>24</xdr:col>
      <xdr:colOff>83820</xdr:colOff>
      <xdr:row>775</xdr:row>
      <xdr:rowOff>114300</xdr:rowOff>
    </xdr:to>
    <xdr:sp macro="" textlink="">
      <xdr:nvSpPr>
        <xdr:cNvPr id="5664" name="Arrow: Down 5663">
          <a:extLst>
            <a:ext uri="{FF2B5EF4-FFF2-40B4-BE49-F238E27FC236}">
              <a16:creationId xmlns:a16="http://schemas.microsoft.com/office/drawing/2014/main" id="{F0B19938-28DB-48EB-AC90-08D1C53C5575}"/>
            </a:ext>
          </a:extLst>
        </xdr:cNvPr>
        <xdr:cNvSpPr/>
      </xdr:nvSpPr>
      <xdr:spPr>
        <a:xfrm rot="10800000">
          <a:off x="833628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775</xdr:row>
      <xdr:rowOff>0</xdr:rowOff>
    </xdr:from>
    <xdr:to>
      <xdr:col>39</xdr:col>
      <xdr:colOff>83820</xdr:colOff>
      <xdr:row>775</xdr:row>
      <xdr:rowOff>114300</xdr:rowOff>
    </xdr:to>
    <xdr:sp macro="" textlink="">
      <xdr:nvSpPr>
        <xdr:cNvPr id="5666" name="Arrow: Down 5665">
          <a:extLst>
            <a:ext uri="{FF2B5EF4-FFF2-40B4-BE49-F238E27FC236}">
              <a16:creationId xmlns:a16="http://schemas.microsoft.com/office/drawing/2014/main" id="{6B2C922C-4807-4779-ADFD-517EBF24385B}"/>
            </a:ext>
          </a:extLst>
        </xdr:cNvPr>
        <xdr:cNvSpPr/>
      </xdr:nvSpPr>
      <xdr:spPr>
        <a:xfrm rot="10800000">
          <a:off x="11544300" y="141831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776</xdr:row>
      <xdr:rowOff>0</xdr:rowOff>
    </xdr:from>
    <xdr:to>
      <xdr:col>64</xdr:col>
      <xdr:colOff>83820</xdr:colOff>
      <xdr:row>776</xdr:row>
      <xdr:rowOff>114300</xdr:rowOff>
    </xdr:to>
    <xdr:sp macro="" textlink="">
      <xdr:nvSpPr>
        <xdr:cNvPr id="5677" name="Arrow: Down 5676">
          <a:extLst>
            <a:ext uri="{FF2B5EF4-FFF2-40B4-BE49-F238E27FC236}">
              <a16:creationId xmlns:a16="http://schemas.microsoft.com/office/drawing/2014/main" id="{C2063682-B679-4DED-A535-A73D782A51D5}"/>
            </a:ext>
          </a:extLst>
        </xdr:cNvPr>
        <xdr:cNvSpPr/>
      </xdr:nvSpPr>
      <xdr:spPr>
        <a:xfrm rot="10800000">
          <a:off x="19392900" y="141831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776</xdr:row>
      <xdr:rowOff>0</xdr:rowOff>
    </xdr:from>
    <xdr:to>
      <xdr:col>45</xdr:col>
      <xdr:colOff>83820</xdr:colOff>
      <xdr:row>776</xdr:row>
      <xdr:rowOff>114300</xdr:rowOff>
    </xdr:to>
    <xdr:sp macro="" textlink="">
      <xdr:nvSpPr>
        <xdr:cNvPr id="5678" name="Arrow: Down 5677">
          <a:extLst>
            <a:ext uri="{FF2B5EF4-FFF2-40B4-BE49-F238E27FC236}">
              <a16:creationId xmlns:a16="http://schemas.microsoft.com/office/drawing/2014/main" id="{56040807-556A-4D06-A71D-513F2C337234}"/>
            </a:ext>
          </a:extLst>
        </xdr:cNvPr>
        <xdr:cNvSpPr/>
      </xdr:nvSpPr>
      <xdr:spPr>
        <a:xfrm rot="10800000">
          <a:off x="13403580" y="141831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776</xdr:row>
      <xdr:rowOff>0</xdr:rowOff>
    </xdr:from>
    <xdr:to>
      <xdr:col>71</xdr:col>
      <xdr:colOff>83820</xdr:colOff>
      <xdr:row>776</xdr:row>
      <xdr:rowOff>114300</xdr:rowOff>
    </xdr:to>
    <xdr:sp macro="" textlink="">
      <xdr:nvSpPr>
        <xdr:cNvPr id="5679" name="Arrow: Down 5678">
          <a:extLst>
            <a:ext uri="{FF2B5EF4-FFF2-40B4-BE49-F238E27FC236}">
              <a16:creationId xmlns:a16="http://schemas.microsoft.com/office/drawing/2014/main" id="{9FC8574F-A20D-4ED1-BF66-C0A206C18878}"/>
            </a:ext>
          </a:extLst>
        </xdr:cNvPr>
        <xdr:cNvSpPr/>
      </xdr:nvSpPr>
      <xdr:spPr>
        <a:xfrm>
          <a:off x="22006560" y="1418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776</xdr:row>
      <xdr:rowOff>0</xdr:rowOff>
    </xdr:from>
    <xdr:to>
      <xdr:col>60</xdr:col>
      <xdr:colOff>83820</xdr:colOff>
      <xdr:row>776</xdr:row>
      <xdr:rowOff>114300</xdr:rowOff>
    </xdr:to>
    <xdr:sp macro="" textlink="">
      <xdr:nvSpPr>
        <xdr:cNvPr id="5680" name="Arrow: Down 5679">
          <a:extLst>
            <a:ext uri="{FF2B5EF4-FFF2-40B4-BE49-F238E27FC236}">
              <a16:creationId xmlns:a16="http://schemas.microsoft.com/office/drawing/2014/main" id="{41224E04-F6E2-4C32-BD61-BDEA56E31E94}"/>
            </a:ext>
          </a:extLst>
        </xdr:cNvPr>
        <xdr:cNvSpPr/>
      </xdr:nvSpPr>
      <xdr:spPr>
        <a:xfrm>
          <a:off x="19126200" y="1418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776</xdr:row>
      <xdr:rowOff>0</xdr:rowOff>
    </xdr:from>
    <xdr:to>
      <xdr:col>11</xdr:col>
      <xdr:colOff>83820</xdr:colOff>
      <xdr:row>776</xdr:row>
      <xdr:rowOff>114300</xdr:rowOff>
    </xdr:to>
    <xdr:sp macro="" textlink="">
      <xdr:nvSpPr>
        <xdr:cNvPr id="5685" name="Arrow: Down 5684">
          <a:extLst>
            <a:ext uri="{FF2B5EF4-FFF2-40B4-BE49-F238E27FC236}">
              <a16:creationId xmlns:a16="http://schemas.microsoft.com/office/drawing/2014/main" id="{ED153E61-B873-4865-A361-FC9A5E186B0A}"/>
            </a:ext>
          </a:extLst>
        </xdr:cNvPr>
        <xdr:cNvSpPr/>
      </xdr:nvSpPr>
      <xdr:spPr>
        <a:xfrm rot="10800000">
          <a:off x="369570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776</xdr:row>
      <xdr:rowOff>0</xdr:rowOff>
    </xdr:from>
    <xdr:to>
      <xdr:col>5</xdr:col>
      <xdr:colOff>83820</xdr:colOff>
      <xdr:row>776</xdr:row>
      <xdr:rowOff>114300</xdr:rowOff>
    </xdr:to>
    <xdr:sp macro="" textlink="">
      <xdr:nvSpPr>
        <xdr:cNvPr id="5687" name="Arrow: Down 5686">
          <a:extLst>
            <a:ext uri="{FF2B5EF4-FFF2-40B4-BE49-F238E27FC236}">
              <a16:creationId xmlns:a16="http://schemas.microsoft.com/office/drawing/2014/main" id="{CF7FF604-5D8A-4DC8-A3B5-42C8447DF187}"/>
            </a:ext>
          </a:extLst>
        </xdr:cNvPr>
        <xdr:cNvSpPr/>
      </xdr:nvSpPr>
      <xdr:spPr>
        <a:xfrm rot="10800000">
          <a:off x="192786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776</xdr:row>
      <xdr:rowOff>0</xdr:rowOff>
    </xdr:from>
    <xdr:to>
      <xdr:col>24</xdr:col>
      <xdr:colOff>83820</xdr:colOff>
      <xdr:row>776</xdr:row>
      <xdr:rowOff>114300</xdr:rowOff>
    </xdr:to>
    <xdr:sp macro="" textlink="">
      <xdr:nvSpPr>
        <xdr:cNvPr id="5688" name="Arrow: Down 5687">
          <a:extLst>
            <a:ext uri="{FF2B5EF4-FFF2-40B4-BE49-F238E27FC236}">
              <a16:creationId xmlns:a16="http://schemas.microsoft.com/office/drawing/2014/main" id="{8323C35A-8EFC-4F21-A754-14E1DB466EF2}"/>
            </a:ext>
          </a:extLst>
        </xdr:cNvPr>
        <xdr:cNvSpPr/>
      </xdr:nvSpPr>
      <xdr:spPr>
        <a:xfrm rot="10800000">
          <a:off x="833628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776</xdr:row>
      <xdr:rowOff>0</xdr:rowOff>
    </xdr:from>
    <xdr:to>
      <xdr:col>39</xdr:col>
      <xdr:colOff>83820</xdr:colOff>
      <xdr:row>776</xdr:row>
      <xdr:rowOff>114300</xdr:rowOff>
    </xdr:to>
    <xdr:sp macro="" textlink="">
      <xdr:nvSpPr>
        <xdr:cNvPr id="5693" name="Arrow: Down 5692">
          <a:extLst>
            <a:ext uri="{FF2B5EF4-FFF2-40B4-BE49-F238E27FC236}">
              <a16:creationId xmlns:a16="http://schemas.microsoft.com/office/drawing/2014/main" id="{C93F1802-F643-403E-BF7C-F76313BADF37}"/>
            </a:ext>
          </a:extLst>
        </xdr:cNvPr>
        <xdr:cNvSpPr/>
      </xdr:nvSpPr>
      <xdr:spPr>
        <a:xfrm>
          <a:off x="115443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777</xdr:row>
      <xdr:rowOff>0</xdr:rowOff>
    </xdr:from>
    <xdr:to>
      <xdr:col>64</xdr:col>
      <xdr:colOff>83820</xdr:colOff>
      <xdr:row>777</xdr:row>
      <xdr:rowOff>114300</xdr:rowOff>
    </xdr:to>
    <xdr:sp macro="" textlink="">
      <xdr:nvSpPr>
        <xdr:cNvPr id="5695" name="Arrow: Down 5694">
          <a:extLst>
            <a:ext uri="{FF2B5EF4-FFF2-40B4-BE49-F238E27FC236}">
              <a16:creationId xmlns:a16="http://schemas.microsoft.com/office/drawing/2014/main" id="{09FFED29-28C4-4A96-9275-901242E5B85A}"/>
            </a:ext>
          </a:extLst>
        </xdr:cNvPr>
        <xdr:cNvSpPr/>
      </xdr:nvSpPr>
      <xdr:spPr>
        <a:xfrm rot="10800000">
          <a:off x="19392900" y="142013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777</xdr:row>
      <xdr:rowOff>0</xdr:rowOff>
    </xdr:from>
    <xdr:to>
      <xdr:col>45</xdr:col>
      <xdr:colOff>83820</xdr:colOff>
      <xdr:row>777</xdr:row>
      <xdr:rowOff>114300</xdr:rowOff>
    </xdr:to>
    <xdr:sp macro="" textlink="">
      <xdr:nvSpPr>
        <xdr:cNvPr id="5698" name="Arrow: Down 5697">
          <a:extLst>
            <a:ext uri="{FF2B5EF4-FFF2-40B4-BE49-F238E27FC236}">
              <a16:creationId xmlns:a16="http://schemas.microsoft.com/office/drawing/2014/main" id="{8388FD84-AE9E-4B06-803E-2BE469A9CFEA}"/>
            </a:ext>
          </a:extLst>
        </xdr:cNvPr>
        <xdr:cNvSpPr/>
      </xdr:nvSpPr>
      <xdr:spPr>
        <a:xfrm rot="10800000">
          <a:off x="13403580" y="142013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777</xdr:row>
      <xdr:rowOff>0</xdr:rowOff>
    </xdr:from>
    <xdr:to>
      <xdr:col>71</xdr:col>
      <xdr:colOff>83820</xdr:colOff>
      <xdr:row>777</xdr:row>
      <xdr:rowOff>114300</xdr:rowOff>
    </xdr:to>
    <xdr:sp macro="" textlink="">
      <xdr:nvSpPr>
        <xdr:cNvPr id="5701" name="Arrow: Down 5700">
          <a:extLst>
            <a:ext uri="{FF2B5EF4-FFF2-40B4-BE49-F238E27FC236}">
              <a16:creationId xmlns:a16="http://schemas.microsoft.com/office/drawing/2014/main" id="{7205FC98-1903-4448-9D16-1B1740F25E53}"/>
            </a:ext>
          </a:extLst>
        </xdr:cNvPr>
        <xdr:cNvSpPr/>
      </xdr:nvSpPr>
      <xdr:spPr>
        <a:xfrm>
          <a:off x="22006560" y="1420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777</xdr:row>
      <xdr:rowOff>0</xdr:rowOff>
    </xdr:from>
    <xdr:to>
      <xdr:col>11</xdr:col>
      <xdr:colOff>83820</xdr:colOff>
      <xdr:row>777</xdr:row>
      <xdr:rowOff>114300</xdr:rowOff>
    </xdr:to>
    <xdr:sp macro="" textlink="">
      <xdr:nvSpPr>
        <xdr:cNvPr id="5724" name="Arrow: Down 5723">
          <a:extLst>
            <a:ext uri="{FF2B5EF4-FFF2-40B4-BE49-F238E27FC236}">
              <a16:creationId xmlns:a16="http://schemas.microsoft.com/office/drawing/2014/main" id="{76472B87-440E-4625-802E-E6192C44E394}"/>
            </a:ext>
          </a:extLst>
        </xdr:cNvPr>
        <xdr:cNvSpPr/>
      </xdr:nvSpPr>
      <xdr:spPr>
        <a:xfrm rot="10800000">
          <a:off x="36957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777</xdr:row>
      <xdr:rowOff>0</xdr:rowOff>
    </xdr:from>
    <xdr:to>
      <xdr:col>5</xdr:col>
      <xdr:colOff>83820</xdr:colOff>
      <xdr:row>777</xdr:row>
      <xdr:rowOff>114300</xdr:rowOff>
    </xdr:to>
    <xdr:sp macro="" textlink="">
      <xdr:nvSpPr>
        <xdr:cNvPr id="5725" name="Arrow: Down 5724">
          <a:extLst>
            <a:ext uri="{FF2B5EF4-FFF2-40B4-BE49-F238E27FC236}">
              <a16:creationId xmlns:a16="http://schemas.microsoft.com/office/drawing/2014/main" id="{48090169-8B88-4A15-A521-4002DD1874BC}"/>
            </a:ext>
          </a:extLst>
        </xdr:cNvPr>
        <xdr:cNvSpPr/>
      </xdr:nvSpPr>
      <xdr:spPr>
        <a:xfrm rot="10800000">
          <a:off x="192786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777</xdr:row>
      <xdr:rowOff>0</xdr:rowOff>
    </xdr:from>
    <xdr:to>
      <xdr:col>24</xdr:col>
      <xdr:colOff>83820</xdr:colOff>
      <xdr:row>777</xdr:row>
      <xdr:rowOff>114300</xdr:rowOff>
    </xdr:to>
    <xdr:sp macro="" textlink="">
      <xdr:nvSpPr>
        <xdr:cNvPr id="5726" name="Arrow: Down 5725">
          <a:extLst>
            <a:ext uri="{FF2B5EF4-FFF2-40B4-BE49-F238E27FC236}">
              <a16:creationId xmlns:a16="http://schemas.microsoft.com/office/drawing/2014/main" id="{BA23DBE0-EF98-477F-9C7C-DAC72C9C1A90}"/>
            </a:ext>
          </a:extLst>
        </xdr:cNvPr>
        <xdr:cNvSpPr/>
      </xdr:nvSpPr>
      <xdr:spPr>
        <a:xfrm rot="10800000">
          <a:off x="833628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777</xdr:row>
      <xdr:rowOff>0</xdr:rowOff>
    </xdr:from>
    <xdr:to>
      <xdr:col>39</xdr:col>
      <xdr:colOff>83820</xdr:colOff>
      <xdr:row>777</xdr:row>
      <xdr:rowOff>114300</xdr:rowOff>
    </xdr:to>
    <xdr:sp macro="" textlink="">
      <xdr:nvSpPr>
        <xdr:cNvPr id="5730" name="Arrow: Down 5729">
          <a:extLst>
            <a:ext uri="{FF2B5EF4-FFF2-40B4-BE49-F238E27FC236}">
              <a16:creationId xmlns:a16="http://schemas.microsoft.com/office/drawing/2014/main" id="{14A3D839-FEBF-45C4-BFF0-E493B73CDB23}"/>
            </a:ext>
          </a:extLst>
        </xdr:cNvPr>
        <xdr:cNvSpPr/>
      </xdr:nvSpPr>
      <xdr:spPr>
        <a:xfrm>
          <a:off x="115443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777</xdr:row>
      <xdr:rowOff>0</xdr:rowOff>
    </xdr:from>
    <xdr:to>
      <xdr:col>60</xdr:col>
      <xdr:colOff>83820</xdr:colOff>
      <xdr:row>777</xdr:row>
      <xdr:rowOff>114300</xdr:rowOff>
    </xdr:to>
    <xdr:sp macro="" textlink="">
      <xdr:nvSpPr>
        <xdr:cNvPr id="5735" name="Arrow: Down 5734">
          <a:extLst>
            <a:ext uri="{FF2B5EF4-FFF2-40B4-BE49-F238E27FC236}">
              <a16:creationId xmlns:a16="http://schemas.microsoft.com/office/drawing/2014/main" id="{87D044A9-AA5F-4B72-B2A9-0DDC55A1068B}"/>
            </a:ext>
          </a:extLst>
        </xdr:cNvPr>
        <xdr:cNvSpPr/>
      </xdr:nvSpPr>
      <xdr:spPr>
        <a:xfrm rot="10800000">
          <a:off x="191262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778</xdr:row>
      <xdr:rowOff>0</xdr:rowOff>
    </xdr:from>
    <xdr:to>
      <xdr:col>64</xdr:col>
      <xdr:colOff>83820</xdr:colOff>
      <xdr:row>778</xdr:row>
      <xdr:rowOff>114300</xdr:rowOff>
    </xdr:to>
    <xdr:sp macro="" textlink="">
      <xdr:nvSpPr>
        <xdr:cNvPr id="5764" name="Arrow: Down 5763">
          <a:extLst>
            <a:ext uri="{FF2B5EF4-FFF2-40B4-BE49-F238E27FC236}">
              <a16:creationId xmlns:a16="http://schemas.microsoft.com/office/drawing/2014/main" id="{74F1DEF9-0373-44BE-897C-F2842F76734F}"/>
            </a:ext>
          </a:extLst>
        </xdr:cNvPr>
        <xdr:cNvSpPr/>
      </xdr:nvSpPr>
      <xdr:spPr>
        <a:xfrm rot="10800000">
          <a:off x="19392900" y="142196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778</xdr:row>
      <xdr:rowOff>0</xdr:rowOff>
    </xdr:from>
    <xdr:to>
      <xdr:col>45</xdr:col>
      <xdr:colOff>83820</xdr:colOff>
      <xdr:row>778</xdr:row>
      <xdr:rowOff>114300</xdr:rowOff>
    </xdr:to>
    <xdr:sp macro="" textlink="">
      <xdr:nvSpPr>
        <xdr:cNvPr id="5766" name="Arrow: Down 5765">
          <a:extLst>
            <a:ext uri="{FF2B5EF4-FFF2-40B4-BE49-F238E27FC236}">
              <a16:creationId xmlns:a16="http://schemas.microsoft.com/office/drawing/2014/main" id="{933FAA35-4296-4A1E-B279-8547C45EF8B7}"/>
            </a:ext>
          </a:extLst>
        </xdr:cNvPr>
        <xdr:cNvSpPr/>
      </xdr:nvSpPr>
      <xdr:spPr>
        <a:xfrm rot="10800000">
          <a:off x="13403580" y="142196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778</xdr:row>
      <xdr:rowOff>0</xdr:rowOff>
    </xdr:from>
    <xdr:to>
      <xdr:col>71</xdr:col>
      <xdr:colOff>83820</xdr:colOff>
      <xdr:row>778</xdr:row>
      <xdr:rowOff>114300</xdr:rowOff>
    </xdr:to>
    <xdr:sp macro="" textlink="">
      <xdr:nvSpPr>
        <xdr:cNvPr id="5775" name="Arrow: Down 5774">
          <a:extLst>
            <a:ext uri="{FF2B5EF4-FFF2-40B4-BE49-F238E27FC236}">
              <a16:creationId xmlns:a16="http://schemas.microsoft.com/office/drawing/2014/main" id="{5C6E0067-B470-4303-9F81-859AFB2B9910}"/>
            </a:ext>
          </a:extLst>
        </xdr:cNvPr>
        <xdr:cNvSpPr/>
      </xdr:nvSpPr>
      <xdr:spPr>
        <a:xfrm>
          <a:off x="22006560" y="1421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778</xdr:row>
      <xdr:rowOff>0</xdr:rowOff>
    </xdr:from>
    <xdr:to>
      <xdr:col>11</xdr:col>
      <xdr:colOff>83820</xdr:colOff>
      <xdr:row>778</xdr:row>
      <xdr:rowOff>114300</xdr:rowOff>
    </xdr:to>
    <xdr:sp macro="" textlink="">
      <xdr:nvSpPr>
        <xdr:cNvPr id="5776" name="Arrow: Down 5775">
          <a:extLst>
            <a:ext uri="{FF2B5EF4-FFF2-40B4-BE49-F238E27FC236}">
              <a16:creationId xmlns:a16="http://schemas.microsoft.com/office/drawing/2014/main" id="{5DEACCA8-4A30-4376-8577-B813FAB3D93D}"/>
            </a:ext>
          </a:extLst>
        </xdr:cNvPr>
        <xdr:cNvSpPr/>
      </xdr:nvSpPr>
      <xdr:spPr>
        <a:xfrm rot="10800000">
          <a:off x="36957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778</xdr:row>
      <xdr:rowOff>0</xdr:rowOff>
    </xdr:from>
    <xdr:to>
      <xdr:col>5</xdr:col>
      <xdr:colOff>83820</xdr:colOff>
      <xdr:row>778</xdr:row>
      <xdr:rowOff>114300</xdr:rowOff>
    </xdr:to>
    <xdr:sp macro="" textlink="">
      <xdr:nvSpPr>
        <xdr:cNvPr id="5783" name="Arrow: Down 5782">
          <a:extLst>
            <a:ext uri="{FF2B5EF4-FFF2-40B4-BE49-F238E27FC236}">
              <a16:creationId xmlns:a16="http://schemas.microsoft.com/office/drawing/2014/main" id="{1ECF6BBF-5556-4F2B-A5F0-2342065AFC4A}"/>
            </a:ext>
          </a:extLst>
        </xdr:cNvPr>
        <xdr:cNvSpPr/>
      </xdr:nvSpPr>
      <xdr:spPr>
        <a:xfrm rot="10800000">
          <a:off x="192786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778</xdr:row>
      <xdr:rowOff>0</xdr:rowOff>
    </xdr:from>
    <xdr:to>
      <xdr:col>24</xdr:col>
      <xdr:colOff>83820</xdr:colOff>
      <xdr:row>778</xdr:row>
      <xdr:rowOff>114300</xdr:rowOff>
    </xdr:to>
    <xdr:sp macro="" textlink="">
      <xdr:nvSpPr>
        <xdr:cNvPr id="5785" name="Arrow: Down 5784">
          <a:extLst>
            <a:ext uri="{FF2B5EF4-FFF2-40B4-BE49-F238E27FC236}">
              <a16:creationId xmlns:a16="http://schemas.microsoft.com/office/drawing/2014/main" id="{8FF9D5B9-6AA3-43AE-90B1-500CEACA6CF5}"/>
            </a:ext>
          </a:extLst>
        </xdr:cNvPr>
        <xdr:cNvSpPr/>
      </xdr:nvSpPr>
      <xdr:spPr>
        <a:xfrm rot="10800000">
          <a:off x="833628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778</xdr:row>
      <xdr:rowOff>0</xdr:rowOff>
    </xdr:from>
    <xdr:to>
      <xdr:col>39</xdr:col>
      <xdr:colOff>83820</xdr:colOff>
      <xdr:row>778</xdr:row>
      <xdr:rowOff>114300</xdr:rowOff>
    </xdr:to>
    <xdr:sp macro="" textlink="">
      <xdr:nvSpPr>
        <xdr:cNvPr id="5787" name="Arrow: Down 5786">
          <a:extLst>
            <a:ext uri="{FF2B5EF4-FFF2-40B4-BE49-F238E27FC236}">
              <a16:creationId xmlns:a16="http://schemas.microsoft.com/office/drawing/2014/main" id="{EF957CDA-A05B-49AA-8C16-4C6F77037AE2}"/>
            </a:ext>
          </a:extLst>
        </xdr:cNvPr>
        <xdr:cNvSpPr/>
      </xdr:nvSpPr>
      <xdr:spPr>
        <a:xfrm>
          <a:off x="115443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778</xdr:row>
      <xdr:rowOff>0</xdr:rowOff>
    </xdr:from>
    <xdr:to>
      <xdr:col>60</xdr:col>
      <xdr:colOff>83820</xdr:colOff>
      <xdr:row>778</xdr:row>
      <xdr:rowOff>114300</xdr:rowOff>
    </xdr:to>
    <xdr:sp macro="" textlink="">
      <xdr:nvSpPr>
        <xdr:cNvPr id="5789" name="Arrow: Down 5788">
          <a:extLst>
            <a:ext uri="{FF2B5EF4-FFF2-40B4-BE49-F238E27FC236}">
              <a16:creationId xmlns:a16="http://schemas.microsoft.com/office/drawing/2014/main" id="{CF8AFD84-9DD5-4707-81DD-1DE718DD4E8B}"/>
            </a:ext>
          </a:extLst>
        </xdr:cNvPr>
        <xdr:cNvSpPr/>
      </xdr:nvSpPr>
      <xdr:spPr>
        <a:xfrm rot="10800000">
          <a:off x="191262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779</xdr:row>
      <xdr:rowOff>0</xdr:rowOff>
    </xdr:from>
    <xdr:to>
      <xdr:col>64</xdr:col>
      <xdr:colOff>83820</xdr:colOff>
      <xdr:row>779</xdr:row>
      <xdr:rowOff>114300</xdr:rowOff>
    </xdr:to>
    <xdr:sp macro="" textlink="">
      <xdr:nvSpPr>
        <xdr:cNvPr id="5790" name="Arrow: Down 5789">
          <a:extLst>
            <a:ext uri="{FF2B5EF4-FFF2-40B4-BE49-F238E27FC236}">
              <a16:creationId xmlns:a16="http://schemas.microsoft.com/office/drawing/2014/main" id="{5C6B7FC5-D370-434F-985F-78FFA57A2399}"/>
            </a:ext>
          </a:extLst>
        </xdr:cNvPr>
        <xdr:cNvSpPr/>
      </xdr:nvSpPr>
      <xdr:spPr>
        <a:xfrm rot="10800000">
          <a:off x="19392900" y="142379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779</xdr:row>
      <xdr:rowOff>0</xdr:rowOff>
    </xdr:from>
    <xdr:to>
      <xdr:col>45</xdr:col>
      <xdr:colOff>83820</xdr:colOff>
      <xdr:row>779</xdr:row>
      <xdr:rowOff>114300</xdr:rowOff>
    </xdr:to>
    <xdr:sp macro="" textlink="">
      <xdr:nvSpPr>
        <xdr:cNvPr id="5794" name="Arrow: Down 5793">
          <a:extLst>
            <a:ext uri="{FF2B5EF4-FFF2-40B4-BE49-F238E27FC236}">
              <a16:creationId xmlns:a16="http://schemas.microsoft.com/office/drawing/2014/main" id="{F62D5881-4E44-418A-B692-DF555747B157}"/>
            </a:ext>
          </a:extLst>
        </xdr:cNvPr>
        <xdr:cNvSpPr/>
      </xdr:nvSpPr>
      <xdr:spPr>
        <a:xfrm rot="10800000">
          <a:off x="13403580" y="142379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779</xdr:row>
      <xdr:rowOff>0</xdr:rowOff>
    </xdr:from>
    <xdr:to>
      <xdr:col>39</xdr:col>
      <xdr:colOff>83820</xdr:colOff>
      <xdr:row>779</xdr:row>
      <xdr:rowOff>114300</xdr:rowOff>
    </xdr:to>
    <xdr:sp macro="" textlink="">
      <xdr:nvSpPr>
        <xdr:cNvPr id="5803" name="Arrow: Down 5802">
          <a:extLst>
            <a:ext uri="{FF2B5EF4-FFF2-40B4-BE49-F238E27FC236}">
              <a16:creationId xmlns:a16="http://schemas.microsoft.com/office/drawing/2014/main" id="{807DE6CB-ED0C-49D2-BF3E-3611CE0CF757}"/>
            </a:ext>
          </a:extLst>
        </xdr:cNvPr>
        <xdr:cNvSpPr/>
      </xdr:nvSpPr>
      <xdr:spPr>
        <a:xfrm>
          <a:off x="11544300" y="1423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779</xdr:row>
      <xdr:rowOff>0</xdr:rowOff>
    </xdr:from>
    <xdr:to>
      <xdr:col>60</xdr:col>
      <xdr:colOff>83820</xdr:colOff>
      <xdr:row>779</xdr:row>
      <xdr:rowOff>114300</xdr:rowOff>
    </xdr:to>
    <xdr:sp macro="" textlink="">
      <xdr:nvSpPr>
        <xdr:cNvPr id="5807" name="Arrow: Down 5806">
          <a:extLst>
            <a:ext uri="{FF2B5EF4-FFF2-40B4-BE49-F238E27FC236}">
              <a16:creationId xmlns:a16="http://schemas.microsoft.com/office/drawing/2014/main" id="{8C905D6A-0867-44AD-B5A3-A9787954F308}"/>
            </a:ext>
          </a:extLst>
        </xdr:cNvPr>
        <xdr:cNvSpPr/>
      </xdr:nvSpPr>
      <xdr:spPr>
        <a:xfrm rot="10800000">
          <a:off x="19126200" y="1423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779</xdr:row>
      <xdr:rowOff>0</xdr:rowOff>
    </xdr:from>
    <xdr:to>
      <xdr:col>71</xdr:col>
      <xdr:colOff>83820</xdr:colOff>
      <xdr:row>779</xdr:row>
      <xdr:rowOff>114300</xdr:rowOff>
    </xdr:to>
    <xdr:sp macro="" textlink="">
      <xdr:nvSpPr>
        <xdr:cNvPr id="5810" name="Arrow: Down 5809">
          <a:extLst>
            <a:ext uri="{FF2B5EF4-FFF2-40B4-BE49-F238E27FC236}">
              <a16:creationId xmlns:a16="http://schemas.microsoft.com/office/drawing/2014/main" id="{A0C5CFE7-FEE3-4D0A-A39C-56688EB90231}"/>
            </a:ext>
          </a:extLst>
        </xdr:cNvPr>
        <xdr:cNvSpPr/>
      </xdr:nvSpPr>
      <xdr:spPr>
        <a:xfrm rot="10800000">
          <a:off x="2200656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779</xdr:row>
      <xdr:rowOff>0</xdr:rowOff>
    </xdr:from>
    <xdr:to>
      <xdr:col>5</xdr:col>
      <xdr:colOff>83820</xdr:colOff>
      <xdr:row>779</xdr:row>
      <xdr:rowOff>114300</xdr:rowOff>
    </xdr:to>
    <xdr:sp macro="" textlink="">
      <xdr:nvSpPr>
        <xdr:cNvPr id="5821" name="Arrow: Down 5820">
          <a:extLst>
            <a:ext uri="{FF2B5EF4-FFF2-40B4-BE49-F238E27FC236}">
              <a16:creationId xmlns:a16="http://schemas.microsoft.com/office/drawing/2014/main" id="{7D512413-2C33-49C6-A52E-EB1C04CF9107}"/>
            </a:ext>
          </a:extLst>
        </xdr:cNvPr>
        <xdr:cNvSpPr/>
      </xdr:nvSpPr>
      <xdr:spPr>
        <a:xfrm>
          <a:off x="192786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779</xdr:row>
      <xdr:rowOff>0</xdr:rowOff>
    </xdr:from>
    <xdr:to>
      <xdr:col>11</xdr:col>
      <xdr:colOff>83820</xdr:colOff>
      <xdr:row>779</xdr:row>
      <xdr:rowOff>114300</xdr:rowOff>
    </xdr:to>
    <xdr:sp macro="" textlink="">
      <xdr:nvSpPr>
        <xdr:cNvPr id="5826" name="Arrow: Down 5825">
          <a:extLst>
            <a:ext uri="{FF2B5EF4-FFF2-40B4-BE49-F238E27FC236}">
              <a16:creationId xmlns:a16="http://schemas.microsoft.com/office/drawing/2014/main" id="{65686C62-E22B-45B1-960F-8EFF6EB6DCB9}"/>
            </a:ext>
          </a:extLst>
        </xdr:cNvPr>
        <xdr:cNvSpPr/>
      </xdr:nvSpPr>
      <xdr:spPr>
        <a:xfrm>
          <a:off x="369570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779</xdr:row>
      <xdr:rowOff>0</xdr:rowOff>
    </xdr:from>
    <xdr:to>
      <xdr:col>24</xdr:col>
      <xdr:colOff>83820</xdr:colOff>
      <xdr:row>779</xdr:row>
      <xdr:rowOff>114300</xdr:rowOff>
    </xdr:to>
    <xdr:sp macro="" textlink="">
      <xdr:nvSpPr>
        <xdr:cNvPr id="5829" name="Arrow: Down 5828">
          <a:extLst>
            <a:ext uri="{FF2B5EF4-FFF2-40B4-BE49-F238E27FC236}">
              <a16:creationId xmlns:a16="http://schemas.microsoft.com/office/drawing/2014/main" id="{FF7A6869-E09A-480B-8A2A-AD4BC7C9A7A9}"/>
            </a:ext>
          </a:extLst>
        </xdr:cNvPr>
        <xdr:cNvSpPr/>
      </xdr:nvSpPr>
      <xdr:spPr>
        <a:xfrm>
          <a:off x="833628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780</xdr:row>
      <xdr:rowOff>0</xdr:rowOff>
    </xdr:from>
    <xdr:to>
      <xdr:col>64</xdr:col>
      <xdr:colOff>83820</xdr:colOff>
      <xdr:row>780</xdr:row>
      <xdr:rowOff>114300</xdr:rowOff>
    </xdr:to>
    <xdr:sp macro="" textlink="">
      <xdr:nvSpPr>
        <xdr:cNvPr id="5893" name="Arrow: Down 5892">
          <a:extLst>
            <a:ext uri="{FF2B5EF4-FFF2-40B4-BE49-F238E27FC236}">
              <a16:creationId xmlns:a16="http://schemas.microsoft.com/office/drawing/2014/main" id="{3CAA4F33-4422-4FCB-9D4C-3F8FC518B71F}"/>
            </a:ext>
          </a:extLst>
        </xdr:cNvPr>
        <xdr:cNvSpPr/>
      </xdr:nvSpPr>
      <xdr:spPr>
        <a:xfrm rot="10800000">
          <a:off x="19392900" y="142562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780</xdr:row>
      <xdr:rowOff>0</xdr:rowOff>
    </xdr:from>
    <xdr:to>
      <xdr:col>45</xdr:col>
      <xdr:colOff>83820</xdr:colOff>
      <xdr:row>780</xdr:row>
      <xdr:rowOff>114300</xdr:rowOff>
    </xdr:to>
    <xdr:sp macro="" textlink="">
      <xdr:nvSpPr>
        <xdr:cNvPr id="5894" name="Arrow: Down 5893">
          <a:extLst>
            <a:ext uri="{FF2B5EF4-FFF2-40B4-BE49-F238E27FC236}">
              <a16:creationId xmlns:a16="http://schemas.microsoft.com/office/drawing/2014/main" id="{2E16BE65-B5F7-48B4-AE5E-E9B8D57D4120}"/>
            </a:ext>
          </a:extLst>
        </xdr:cNvPr>
        <xdr:cNvSpPr/>
      </xdr:nvSpPr>
      <xdr:spPr>
        <a:xfrm rot="10800000">
          <a:off x="13403580" y="142562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780</xdr:row>
      <xdr:rowOff>0</xdr:rowOff>
    </xdr:from>
    <xdr:to>
      <xdr:col>39</xdr:col>
      <xdr:colOff>83820</xdr:colOff>
      <xdr:row>780</xdr:row>
      <xdr:rowOff>114300</xdr:rowOff>
    </xdr:to>
    <xdr:sp macro="" textlink="">
      <xdr:nvSpPr>
        <xdr:cNvPr id="5895" name="Arrow: Down 5894">
          <a:extLst>
            <a:ext uri="{FF2B5EF4-FFF2-40B4-BE49-F238E27FC236}">
              <a16:creationId xmlns:a16="http://schemas.microsoft.com/office/drawing/2014/main" id="{E1687BBF-7C43-4E9A-9429-080C87398A30}"/>
            </a:ext>
          </a:extLst>
        </xdr:cNvPr>
        <xdr:cNvSpPr/>
      </xdr:nvSpPr>
      <xdr:spPr>
        <a:xfrm>
          <a:off x="1154430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780</xdr:row>
      <xdr:rowOff>0</xdr:rowOff>
    </xdr:from>
    <xdr:to>
      <xdr:col>60</xdr:col>
      <xdr:colOff>83820</xdr:colOff>
      <xdr:row>780</xdr:row>
      <xdr:rowOff>114300</xdr:rowOff>
    </xdr:to>
    <xdr:sp macro="" textlink="">
      <xdr:nvSpPr>
        <xdr:cNvPr id="5896" name="Arrow: Down 5895">
          <a:extLst>
            <a:ext uri="{FF2B5EF4-FFF2-40B4-BE49-F238E27FC236}">
              <a16:creationId xmlns:a16="http://schemas.microsoft.com/office/drawing/2014/main" id="{21984A52-66AB-46B3-9D2A-2F4E8A853471}"/>
            </a:ext>
          </a:extLst>
        </xdr:cNvPr>
        <xdr:cNvSpPr/>
      </xdr:nvSpPr>
      <xdr:spPr>
        <a:xfrm rot="10800000">
          <a:off x="1912620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780</xdr:row>
      <xdr:rowOff>0</xdr:rowOff>
    </xdr:from>
    <xdr:to>
      <xdr:col>71</xdr:col>
      <xdr:colOff>83820</xdr:colOff>
      <xdr:row>780</xdr:row>
      <xdr:rowOff>114300</xdr:rowOff>
    </xdr:to>
    <xdr:sp macro="" textlink="">
      <xdr:nvSpPr>
        <xdr:cNvPr id="5897" name="Arrow: Down 5896">
          <a:extLst>
            <a:ext uri="{FF2B5EF4-FFF2-40B4-BE49-F238E27FC236}">
              <a16:creationId xmlns:a16="http://schemas.microsoft.com/office/drawing/2014/main" id="{CDFF459C-254B-41A6-96FC-37D3DECBA21F}"/>
            </a:ext>
          </a:extLst>
        </xdr:cNvPr>
        <xdr:cNvSpPr/>
      </xdr:nvSpPr>
      <xdr:spPr>
        <a:xfrm rot="10800000">
          <a:off x="2200656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780</xdr:row>
      <xdr:rowOff>0</xdr:rowOff>
    </xdr:from>
    <xdr:to>
      <xdr:col>5</xdr:col>
      <xdr:colOff>83820</xdr:colOff>
      <xdr:row>780</xdr:row>
      <xdr:rowOff>114300</xdr:rowOff>
    </xdr:to>
    <xdr:sp macro="" textlink="">
      <xdr:nvSpPr>
        <xdr:cNvPr id="5909" name="Arrow: Down 5908">
          <a:extLst>
            <a:ext uri="{FF2B5EF4-FFF2-40B4-BE49-F238E27FC236}">
              <a16:creationId xmlns:a16="http://schemas.microsoft.com/office/drawing/2014/main" id="{A68B6BDC-D60C-4FDD-B8E4-B019147E8CC7}"/>
            </a:ext>
          </a:extLst>
        </xdr:cNvPr>
        <xdr:cNvSpPr/>
      </xdr:nvSpPr>
      <xdr:spPr>
        <a:xfrm>
          <a:off x="192786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780</xdr:row>
      <xdr:rowOff>0</xdr:rowOff>
    </xdr:from>
    <xdr:to>
      <xdr:col>11</xdr:col>
      <xdr:colOff>83820</xdr:colOff>
      <xdr:row>780</xdr:row>
      <xdr:rowOff>114300</xdr:rowOff>
    </xdr:to>
    <xdr:sp macro="" textlink="">
      <xdr:nvSpPr>
        <xdr:cNvPr id="5910" name="Arrow: Down 5909">
          <a:extLst>
            <a:ext uri="{FF2B5EF4-FFF2-40B4-BE49-F238E27FC236}">
              <a16:creationId xmlns:a16="http://schemas.microsoft.com/office/drawing/2014/main" id="{448C3B95-2136-4AAE-A8DC-F72FD66E7FCE}"/>
            </a:ext>
          </a:extLst>
        </xdr:cNvPr>
        <xdr:cNvSpPr/>
      </xdr:nvSpPr>
      <xdr:spPr>
        <a:xfrm>
          <a:off x="369570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780</xdr:row>
      <xdr:rowOff>0</xdr:rowOff>
    </xdr:from>
    <xdr:to>
      <xdr:col>24</xdr:col>
      <xdr:colOff>83820</xdr:colOff>
      <xdr:row>780</xdr:row>
      <xdr:rowOff>114300</xdr:rowOff>
    </xdr:to>
    <xdr:sp macro="" textlink="">
      <xdr:nvSpPr>
        <xdr:cNvPr id="5911" name="Arrow: Down 5910">
          <a:extLst>
            <a:ext uri="{FF2B5EF4-FFF2-40B4-BE49-F238E27FC236}">
              <a16:creationId xmlns:a16="http://schemas.microsoft.com/office/drawing/2014/main" id="{299CF1DB-E69A-4D9C-8919-23343379280E}"/>
            </a:ext>
          </a:extLst>
        </xdr:cNvPr>
        <xdr:cNvSpPr/>
      </xdr:nvSpPr>
      <xdr:spPr>
        <a:xfrm>
          <a:off x="833628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781</xdr:row>
      <xdr:rowOff>0</xdr:rowOff>
    </xdr:from>
    <xdr:to>
      <xdr:col>64</xdr:col>
      <xdr:colOff>83820</xdr:colOff>
      <xdr:row>781</xdr:row>
      <xdr:rowOff>114300</xdr:rowOff>
    </xdr:to>
    <xdr:sp macro="" textlink="">
      <xdr:nvSpPr>
        <xdr:cNvPr id="5935" name="Arrow: Down 5934">
          <a:extLst>
            <a:ext uri="{FF2B5EF4-FFF2-40B4-BE49-F238E27FC236}">
              <a16:creationId xmlns:a16="http://schemas.microsoft.com/office/drawing/2014/main" id="{F3201476-D9C5-49C6-B8E5-0A1416CB2E57}"/>
            </a:ext>
          </a:extLst>
        </xdr:cNvPr>
        <xdr:cNvSpPr/>
      </xdr:nvSpPr>
      <xdr:spPr>
        <a:xfrm rot="10800000">
          <a:off x="19392900" y="142745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781</xdr:row>
      <xdr:rowOff>0</xdr:rowOff>
    </xdr:from>
    <xdr:to>
      <xdr:col>45</xdr:col>
      <xdr:colOff>83820</xdr:colOff>
      <xdr:row>781</xdr:row>
      <xdr:rowOff>114300</xdr:rowOff>
    </xdr:to>
    <xdr:sp macro="" textlink="">
      <xdr:nvSpPr>
        <xdr:cNvPr id="5944" name="Arrow: Down 5943">
          <a:extLst>
            <a:ext uri="{FF2B5EF4-FFF2-40B4-BE49-F238E27FC236}">
              <a16:creationId xmlns:a16="http://schemas.microsoft.com/office/drawing/2014/main" id="{33057699-E3D2-44AE-ADB9-25C857488067}"/>
            </a:ext>
          </a:extLst>
        </xdr:cNvPr>
        <xdr:cNvSpPr/>
      </xdr:nvSpPr>
      <xdr:spPr>
        <a:xfrm rot="10800000">
          <a:off x="13403580" y="14274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781</xdr:row>
      <xdr:rowOff>0</xdr:rowOff>
    </xdr:from>
    <xdr:to>
      <xdr:col>5</xdr:col>
      <xdr:colOff>83820</xdr:colOff>
      <xdr:row>781</xdr:row>
      <xdr:rowOff>114300</xdr:rowOff>
    </xdr:to>
    <xdr:sp macro="" textlink="">
      <xdr:nvSpPr>
        <xdr:cNvPr id="5957" name="Arrow: Down 5956">
          <a:extLst>
            <a:ext uri="{FF2B5EF4-FFF2-40B4-BE49-F238E27FC236}">
              <a16:creationId xmlns:a16="http://schemas.microsoft.com/office/drawing/2014/main" id="{4A343A84-19E4-4A1F-AF95-C70C55FADFD8}"/>
            </a:ext>
          </a:extLst>
        </xdr:cNvPr>
        <xdr:cNvSpPr/>
      </xdr:nvSpPr>
      <xdr:spPr>
        <a:xfrm>
          <a:off x="192786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781</xdr:row>
      <xdr:rowOff>0</xdr:rowOff>
    </xdr:from>
    <xdr:to>
      <xdr:col>11</xdr:col>
      <xdr:colOff>83820</xdr:colOff>
      <xdr:row>781</xdr:row>
      <xdr:rowOff>114300</xdr:rowOff>
    </xdr:to>
    <xdr:sp macro="" textlink="">
      <xdr:nvSpPr>
        <xdr:cNvPr id="5970" name="Arrow: Down 5969">
          <a:extLst>
            <a:ext uri="{FF2B5EF4-FFF2-40B4-BE49-F238E27FC236}">
              <a16:creationId xmlns:a16="http://schemas.microsoft.com/office/drawing/2014/main" id="{AA5CCECC-B451-4926-B104-5FA29C3F9442}"/>
            </a:ext>
          </a:extLst>
        </xdr:cNvPr>
        <xdr:cNvSpPr/>
      </xdr:nvSpPr>
      <xdr:spPr>
        <a:xfrm>
          <a:off x="369570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781</xdr:row>
      <xdr:rowOff>0</xdr:rowOff>
    </xdr:from>
    <xdr:to>
      <xdr:col>24</xdr:col>
      <xdr:colOff>83820</xdr:colOff>
      <xdr:row>781</xdr:row>
      <xdr:rowOff>114300</xdr:rowOff>
    </xdr:to>
    <xdr:sp macro="" textlink="">
      <xdr:nvSpPr>
        <xdr:cNvPr id="5972" name="Arrow: Down 5971">
          <a:extLst>
            <a:ext uri="{FF2B5EF4-FFF2-40B4-BE49-F238E27FC236}">
              <a16:creationId xmlns:a16="http://schemas.microsoft.com/office/drawing/2014/main" id="{EDB0FA01-4B9E-4457-865A-F3A8CF992371}"/>
            </a:ext>
          </a:extLst>
        </xdr:cNvPr>
        <xdr:cNvSpPr/>
      </xdr:nvSpPr>
      <xdr:spPr>
        <a:xfrm>
          <a:off x="833628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781</xdr:row>
      <xdr:rowOff>0</xdr:rowOff>
    </xdr:from>
    <xdr:to>
      <xdr:col>39</xdr:col>
      <xdr:colOff>83820</xdr:colOff>
      <xdr:row>781</xdr:row>
      <xdr:rowOff>114300</xdr:rowOff>
    </xdr:to>
    <xdr:sp macro="" textlink="">
      <xdr:nvSpPr>
        <xdr:cNvPr id="5974" name="Arrow: Down 5973">
          <a:extLst>
            <a:ext uri="{FF2B5EF4-FFF2-40B4-BE49-F238E27FC236}">
              <a16:creationId xmlns:a16="http://schemas.microsoft.com/office/drawing/2014/main" id="{2824D52E-D309-433D-BB5F-0B38DA92DE12}"/>
            </a:ext>
          </a:extLst>
        </xdr:cNvPr>
        <xdr:cNvSpPr/>
      </xdr:nvSpPr>
      <xdr:spPr>
        <a:xfrm rot="10800000">
          <a:off x="11544300" y="142928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781</xdr:row>
      <xdr:rowOff>0</xdr:rowOff>
    </xdr:from>
    <xdr:to>
      <xdr:col>60</xdr:col>
      <xdr:colOff>83820</xdr:colOff>
      <xdr:row>781</xdr:row>
      <xdr:rowOff>114300</xdr:rowOff>
    </xdr:to>
    <xdr:sp macro="" textlink="">
      <xdr:nvSpPr>
        <xdr:cNvPr id="5976" name="Arrow: Down 5975">
          <a:extLst>
            <a:ext uri="{FF2B5EF4-FFF2-40B4-BE49-F238E27FC236}">
              <a16:creationId xmlns:a16="http://schemas.microsoft.com/office/drawing/2014/main" id="{BAC21533-BCDB-4B92-935D-6F1852948304}"/>
            </a:ext>
          </a:extLst>
        </xdr:cNvPr>
        <xdr:cNvSpPr/>
      </xdr:nvSpPr>
      <xdr:spPr>
        <a:xfrm>
          <a:off x="1912620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781</xdr:row>
      <xdr:rowOff>0</xdr:rowOff>
    </xdr:from>
    <xdr:to>
      <xdr:col>71</xdr:col>
      <xdr:colOff>83820</xdr:colOff>
      <xdr:row>781</xdr:row>
      <xdr:rowOff>114300</xdr:rowOff>
    </xdr:to>
    <xdr:sp macro="" textlink="">
      <xdr:nvSpPr>
        <xdr:cNvPr id="5980" name="Arrow: Down 5979">
          <a:extLst>
            <a:ext uri="{FF2B5EF4-FFF2-40B4-BE49-F238E27FC236}">
              <a16:creationId xmlns:a16="http://schemas.microsoft.com/office/drawing/2014/main" id="{3033923A-CFA1-47AB-A62B-63AD78BD84BD}"/>
            </a:ext>
          </a:extLst>
        </xdr:cNvPr>
        <xdr:cNvSpPr/>
      </xdr:nvSpPr>
      <xdr:spPr>
        <a:xfrm>
          <a:off x="2200656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782</xdr:row>
      <xdr:rowOff>0</xdr:rowOff>
    </xdr:from>
    <xdr:to>
      <xdr:col>64</xdr:col>
      <xdr:colOff>83820</xdr:colOff>
      <xdr:row>782</xdr:row>
      <xdr:rowOff>114300</xdr:rowOff>
    </xdr:to>
    <xdr:sp macro="" textlink="">
      <xdr:nvSpPr>
        <xdr:cNvPr id="5996" name="Arrow: Down 5995">
          <a:extLst>
            <a:ext uri="{FF2B5EF4-FFF2-40B4-BE49-F238E27FC236}">
              <a16:creationId xmlns:a16="http://schemas.microsoft.com/office/drawing/2014/main" id="{9540D191-B848-447F-B618-E90F28773F5F}"/>
            </a:ext>
          </a:extLst>
        </xdr:cNvPr>
        <xdr:cNvSpPr/>
      </xdr:nvSpPr>
      <xdr:spPr>
        <a:xfrm rot="10800000">
          <a:off x="19392900" y="142928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782</xdr:row>
      <xdr:rowOff>0</xdr:rowOff>
    </xdr:from>
    <xdr:to>
      <xdr:col>39</xdr:col>
      <xdr:colOff>83820</xdr:colOff>
      <xdr:row>782</xdr:row>
      <xdr:rowOff>114300</xdr:rowOff>
    </xdr:to>
    <xdr:sp macro="" textlink="">
      <xdr:nvSpPr>
        <xdr:cNvPr id="6008" name="Arrow: Down 6007">
          <a:extLst>
            <a:ext uri="{FF2B5EF4-FFF2-40B4-BE49-F238E27FC236}">
              <a16:creationId xmlns:a16="http://schemas.microsoft.com/office/drawing/2014/main" id="{25FE53CE-E639-486C-A0E7-104FE29D410A}"/>
            </a:ext>
          </a:extLst>
        </xdr:cNvPr>
        <xdr:cNvSpPr/>
      </xdr:nvSpPr>
      <xdr:spPr>
        <a:xfrm rot="10800000">
          <a:off x="11544300" y="142928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782</xdr:row>
      <xdr:rowOff>0</xdr:rowOff>
    </xdr:from>
    <xdr:to>
      <xdr:col>60</xdr:col>
      <xdr:colOff>83820</xdr:colOff>
      <xdr:row>782</xdr:row>
      <xdr:rowOff>114300</xdr:rowOff>
    </xdr:to>
    <xdr:sp macro="" textlink="">
      <xdr:nvSpPr>
        <xdr:cNvPr id="6010" name="Arrow: Down 6009">
          <a:extLst>
            <a:ext uri="{FF2B5EF4-FFF2-40B4-BE49-F238E27FC236}">
              <a16:creationId xmlns:a16="http://schemas.microsoft.com/office/drawing/2014/main" id="{296DBE45-906D-4B66-A063-64B07916A014}"/>
            </a:ext>
          </a:extLst>
        </xdr:cNvPr>
        <xdr:cNvSpPr/>
      </xdr:nvSpPr>
      <xdr:spPr>
        <a:xfrm>
          <a:off x="1912620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782</xdr:row>
      <xdr:rowOff>0</xdr:rowOff>
    </xdr:from>
    <xdr:to>
      <xdr:col>71</xdr:col>
      <xdr:colOff>83820</xdr:colOff>
      <xdr:row>782</xdr:row>
      <xdr:rowOff>114300</xdr:rowOff>
    </xdr:to>
    <xdr:sp macro="" textlink="">
      <xdr:nvSpPr>
        <xdr:cNvPr id="6011" name="Arrow: Down 6010">
          <a:extLst>
            <a:ext uri="{FF2B5EF4-FFF2-40B4-BE49-F238E27FC236}">
              <a16:creationId xmlns:a16="http://schemas.microsoft.com/office/drawing/2014/main" id="{B7002381-A628-47BA-9944-D7191A8F8D3A}"/>
            </a:ext>
          </a:extLst>
        </xdr:cNvPr>
        <xdr:cNvSpPr/>
      </xdr:nvSpPr>
      <xdr:spPr>
        <a:xfrm>
          <a:off x="2200656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782</xdr:row>
      <xdr:rowOff>0</xdr:rowOff>
    </xdr:from>
    <xdr:to>
      <xdr:col>24</xdr:col>
      <xdr:colOff>83820</xdr:colOff>
      <xdr:row>782</xdr:row>
      <xdr:rowOff>114300</xdr:rowOff>
    </xdr:to>
    <xdr:sp macro="" textlink="">
      <xdr:nvSpPr>
        <xdr:cNvPr id="6012" name="Arrow: Down 6011">
          <a:extLst>
            <a:ext uri="{FF2B5EF4-FFF2-40B4-BE49-F238E27FC236}">
              <a16:creationId xmlns:a16="http://schemas.microsoft.com/office/drawing/2014/main" id="{4A6B22A7-98AD-4B9A-AA41-901967A50149}"/>
            </a:ext>
          </a:extLst>
        </xdr:cNvPr>
        <xdr:cNvSpPr/>
      </xdr:nvSpPr>
      <xdr:spPr>
        <a:xfrm rot="10800000">
          <a:off x="833628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782</xdr:row>
      <xdr:rowOff>0</xdr:rowOff>
    </xdr:from>
    <xdr:to>
      <xdr:col>11</xdr:col>
      <xdr:colOff>83820</xdr:colOff>
      <xdr:row>782</xdr:row>
      <xdr:rowOff>114300</xdr:rowOff>
    </xdr:to>
    <xdr:sp macro="" textlink="">
      <xdr:nvSpPr>
        <xdr:cNvPr id="6013" name="Arrow: Down 6012">
          <a:extLst>
            <a:ext uri="{FF2B5EF4-FFF2-40B4-BE49-F238E27FC236}">
              <a16:creationId xmlns:a16="http://schemas.microsoft.com/office/drawing/2014/main" id="{6B813EFC-02FB-4193-B4C2-3717E6944746}"/>
            </a:ext>
          </a:extLst>
        </xdr:cNvPr>
        <xdr:cNvSpPr/>
      </xdr:nvSpPr>
      <xdr:spPr>
        <a:xfrm rot="10800000">
          <a:off x="369570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782</xdr:row>
      <xdr:rowOff>0</xdr:rowOff>
    </xdr:from>
    <xdr:to>
      <xdr:col>5</xdr:col>
      <xdr:colOff>83820</xdr:colOff>
      <xdr:row>782</xdr:row>
      <xdr:rowOff>114300</xdr:rowOff>
    </xdr:to>
    <xdr:sp macro="" textlink="">
      <xdr:nvSpPr>
        <xdr:cNvPr id="6014" name="Arrow: Down 6013">
          <a:extLst>
            <a:ext uri="{FF2B5EF4-FFF2-40B4-BE49-F238E27FC236}">
              <a16:creationId xmlns:a16="http://schemas.microsoft.com/office/drawing/2014/main" id="{D41BFCFA-6A1B-4DDF-B440-269A44188C0E}"/>
            </a:ext>
          </a:extLst>
        </xdr:cNvPr>
        <xdr:cNvSpPr/>
      </xdr:nvSpPr>
      <xdr:spPr>
        <a:xfrm rot="10800000">
          <a:off x="192786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783</xdr:row>
      <xdr:rowOff>0</xdr:rowOff>
    </xdr:from>
    <xdr:to>
      <xdr:col>64</xdr:col>
      <xdr:colOff>83820</xdr:colOff>
      <xdr:row>783</xdr:row>
      <xdr:rowOff>114300</xdr:rowOff>
    </xdr:to>
    <xdr:sp macro="" textlink="">
      <xdr:nvSpPr>
        <xdr:cNvPr id="6015" name="Arrow: Down 6014">
          <a:extLst>
            <a:ext uri="{FF2B5EF4-FFF2-40B4-BE49-F238E27FC236}">
              <a16:creationId xmlns:a16="http://schemas.microsoft.com/office/drawing/2014/main" id="{1D4393E3-CCFC-4487-9033-4C266351E448}"/>
            </a:ext>
          </a:extLst>
        </xdr:cNvPr>
        <xdr:cNvSpPr/>
      </xdr:nvSpPr>
      <xdr:spPr>
        <a:xfrm rot="10800000">
          <a:off x="19392900" y="143111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783</xdr:row>
      <xdr:rowOff>0</xdr:rowOff>
    </xdr:from>
    <xdr:to>
      <xdr:col>39</xdr:col>
      <xdr:colOff>83820</xdr:colOff>
      <xdr:row>783</xdr:row>
      <xdr:rowOff>114300</xdr:rowOff>
    </xdr:to>
    <xdr:sp macro="" textlink="">
      <xdr:nvSpPr>
        <xdr:cNvPr id="6017" name="Arrow: Down 6016">
          <a:extLst>
            <a:ext uri="{FF2B5EF4-FFF2-40B4-BE49-F238E27FC236}">
              <a16:creationId xmlns:a16="http://schemas.microsoft.com/office/drawing/2014/main" id="{1DD5620A-F36C-4BFE-923B-F781A30300F7}"/>
            </a:ext>
          </a:extLst>
        </xdr:cNvPr>
        <xdr:cNvSpPr/>
      </xdr:nvSpPr>
      <xdr:spPr>
        <a:xfrm rot="10800000">
          <a:off x="11544300" y="143111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783</xdr:row>
      <xdr:rowOff>0</xdr:rowOff>
    </xdr:from>
    <xdr:to>
      <xdr:col>71</xdr:col>
      <xdr:colOff>83820</xdr:colOff>
      <xdr:row>783</xdr:row>
      <xdr:rowOff>114300</xdr:rowOff>
    </xdr:to>
    <xdr:sp macro="" textlink="">
      <xdr:nvSpPr>
        <xdr:cNvPr id="6019" name="Arrow: Down 6018">
          <a:extLst>
            <a:ext uri="{FF2B5EF4-FFF2-40B4-BE49-F238E27FC236}">
              <a16:creationId xmlns:a16="http://schemas.microsoft.com/office/drawing/2014/main" id="{F1DBB5F2-35C2-41BF-8618-54DF4804BE1C}"/>
            </a:ext>
          </a:extLst>
        </xdr:cNvPr>
        <xdr:cNvSpPr/>
      </xdr:nvSpPr>
      <xdr:spPr>
        <a:xfrm>
          <a:off x="22006560" y="1431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783</xdr:row>
      <xdr:rowOff>0</xdr:rowOff>
    </xdr:from>
    <xdr:to>
      <xdr:col>24</xdr:col>
      <xdr:colOff>83820</xdr:colOff>
      <xdr:row>783</xdr:row>
      <xdr:rowOff>114300</xdr:rowOff>
    </xdr:to>
    <xdr:sp macro="" textlink="">
      <xdr:nvSpPr>
        <xdr:cNvPr id="6020" name="Arrow: Down 6019">
          <a:extLst>
            <a:ext uri="{FF2B5EF4-FFF2-40B4-BE49-F238E27FC236}">
              <a16:creationId xmlns:a16="http://schemas.microsoft.com/office/drawing/2014/main" id="{ED84B884-C93C-4399-8578-00F4AA74E461}"/>
            </a:ext>
          </a:extLst>
        </xdr:cNvPr>
        <xdr:cNvSpPr/>
      </xdr:nvSpPr>
      <xdr:spPr>
        <a:xfrm rot="10800000">
          <a:off x="833628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783</xdr:row>
      <xdr:rowOff>0</xdr:rowOff>
    </xdr:from>
    <xdr:to>
      <xdr:col>11</xdr:col>
      <xdr:colOff>83820</xdr:colOff>
      <xdr:row>783</xdr:row>
      <xdr:rowOff>114300</xdr:rowOff>
    </xdr:to>
    <xdr:sp macro="" textlink="">
      <xdr:nvSpPr>
        <xdr:cNvPr id="6021" name="Arrow: Down 6020">
          <a:extLst>
            <a:ext uri="{FF2B5EF4-FFF2-40B4-BE49-F238E27FC236}">
              <a16:creationId xmlns:a16="http://schemas.microsoft.com/office/drawing/2014/main" id="{9D08F57B-1E20-4521-95D5-889CDC29DE8F}"/>
            </a:ext>
          </a:extLst>
        </xdr:cNvPr>
        <xdr:cNvSpPr/>
      </xdr:nvSpPr>
      <xdr:spPr>
        <a:xfrm rot="10800000">
          <a:off x="369570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83820</xdr:colOff>
      <xdr:row>783</xdr:row>
      <xdr:rowOff>114300</xdr:rowOff>
    </xdr:to>
    <xdr:sp macro="" textlink="">
      <xdr:nvSpPr>
        <xdr:cNvPr id="6022" name="Arrow: Down 6021">
          <a:extLst>
            <a:ext uri="{FF2B5EF4-FFF2-40B4-BE49-F238E27FC236}">
              <a16:creationId xmlns:a16="http://schemas.microsoft.com/office/drawing/2014/main" id="{E2B8E53C-8755-4F8F-982B-492640A6A0B6}"/>
            </a:ext>
          </a:extLst>
        </xdr:cNvPr>
        <xdr:cNvSpPr/>
      </xdr:nvSpPr>
      <xdr:spPr>
        <a:xfrm rot="10800000">
          <a:off x="192786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783</xdr:row>
      <xdr:rowOff>0</xdr:rowOff>
    </xdr:from>
    <xdr:to>
      <xdr:col>60</xdr:col>
      <xdr:colOff>83820</xdr:colOff>
      <xdr:row>783</xdr:row>
      <xdr:rowOff>114300</xdr:rowOff>
    </xdr:to>
    <xdr:sp macro="" textlink="">
      <xdr:nvSpPr>
        <xdr:cNvPr id="6023" name="Arrow: Down 6022">
          <a:extLst>
            <a:ext uri="{FF2B5EF4-FFF2-40B4-BE49-F238E27FC236}">
              <a16:creationId xmlns:a16="http://schemas.microsoft.com/office/drawing/2014/main" id="{EC8E36D1-470E-49DC-920A-DF467D6C9163}"/>
            </a:ext>
          </a:extLst>
        </xdr:cNvPr>
        <xdr:cNvSpPr/>
      </xdr:nvSpPr>
      <xdr:spPr>
        <a:xfrm rot="10800000">
          <a:off x="1912620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784</xdr:row>
      <xdr:rowOff>0</xdr:rowOff>
    </xdr:from>
    <xdr:to>
      <xdr:col>64</xdr:col>
      <xdr:colOff>83820</xdr:colOff>
      <xdr:row>784</xdr:row>
      <xdr:rowOff>114300</xdr:rowOff>
    </xdr:to>
    <xdr:sp macro="" textlink="">
      <xdr:nvSpPr>
        <xdr:cNvPr id="6050" name="Arrow: Down 6049">
          <a:extLst>
            <a:ext uri="{FF2B5EF4-FFF2-40B4-BE49-F238E27FC236}">
              <a16:creationId xmlns:a16="http://schemas.microsoft.com/office/drawing/2014/main" id="{1183D8EF-C7F4-4ACF-A860-5AC18554B141}"/>
            </a:ext>
          </a:extLst>
        </xdr:cNvPr>
        <xdr:cNvSpPr/>
      </xdr:nvSpPr>
      <xdr:spPr>
        <a:xfrm rot="10800000">
          <a:off x="19392900" y="143294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784</xdr:row>
      <xdr:rowOff>0</xdr:rowOff>
    </xdr:from>
    <xdr:to>
      <xdr:col>24</xdr:col>
      <xdr:colOff>83820</xdr:colOff>
      <xdr:row>784</xdr:row>
      <xdr:rowOff>114300</xdr:rowOff>
    </xdr:to>
    <xdr:sp macro="" textlink="">
      <xdr:nvSpPr>
        <xdr:cNvPr id="6054" name="Arrow: Down 6053">
          <a:extLst>
            <a:ext uri="{FF2B5EF4-FFF2-40B4-BE49-F238E27FC236}">
              <a16:creationId xmlns:a16="http://schemas.microsoft.com/office/drawing/2014/main" id="{6E77A131-CB13-417B-A97E-3F8CFDD72680}"/>
            </a:ext>
          </a:extLst>
        </xdr:cNvPr>
        <xdr:cNvSpPr/>
      </xdr:nvSpPr>
      <xdr:spPr>
        <a:xfrm rot="10800000">
          <a:off x="833628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784</xdr:row>
      <xdr:rowOff>0</xdr:rowOff>
    </xdr:from>
    <xdr:to>
      <xdr:col>11</xdr:col>
      <xdr:colOff>83820</xdr:colOff>
      <xdr:row>784</xdr:row>
      <xdr:rowOff>114300</xdr:rowOff>
    </xdr:to>
    <xdr:sp macro="" textlink="">
      <xdr:nvSpPr>
        <xdr:cNvPr id="6055" name="Arrow: Down 6054">
          <a:extLst>
            <a:ext uri="{FF2B5EF4-FFF2-40B4-BE49-F238E27FC236}">
              <a16:creationId xmlns:a16="http://schemas.microsoft.com/office/drawing/2014/main" id="{4EE272FA-C241-4A55-A593-15798DCE504E}"/>
            </a:ext>
          </a:extLst>
        </xdr:cNvPr>
        <xdr:cNvSpPr/>
      </xdr:nvSpPr>
      <xdr:spPr>
        <a:xfrm rot="10800000">
          <a:off x="369570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784</xdr:row>
      <xdr:rowOff>0</xdr:rowOff>
    </xdr:from>
    <xdr:to>
      <xdr:col>5</xdr:col>
      <xdr:colOff>83820</xdr:colOff>
      <xdr:row>784</xdr:row>
      <xdr:rowOff>114300</xdr:rowOff>
    </xdr:to>
    <xdr:sp macro="" textlink="">
      <xdr:nvSpPr>
        <xdr:cNvPr id="6056" name="Arrow: Down 6055">
          <a:extLst>
            <a:ext uri="{FF2B5EF4-FFF2-40B4-BE49-F238E27FC236}">
              <a16:creationId xmlns:a16="http://schemas.microsoft.com/office/drawing/2014/main" id="{3F4489ED-F2E3-43D4-BB80-51B1122177B4}"/>
            </a:ext>
          </a:extLst>
        </xdr:cNvPr>
        <xdr:cNvSpPr/>
      </xdr:nvSpPr>
      <xdr:spPr>
        <a:xfrm rot="10800000">
          <a:off x="192786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784</xdr:row>
      <xdr:rowOff>0</xdr:rowOff>
    </xdr:from>
    <xdr:to>
      <xdr:col>60</xdr:col>
      <xdr:colOff>83820</xdr:colOff>
      <xdr:row>784</xdr:row>
      <xdr:rowOff>114300</xdr:rowOff>
    </xdr:to>
    <xdr:sp macro="" textlink="">
      <xdr:nvSpPr>
        <xdr:cNvPr id="6057" name="Arrow: Down 6056">
          <a:extLst>
            <a:ext uri="{FF2B5EF4-FFF2-40B4-BE49-F238E27FC236}">
              <a16:creationId xmlns:a16="http://schemas.microsoft.com/office/drawing/2014/main" id="{EA27564D-A45A-48B2-B525-0709EE4BF47B}"/>
            </a:ext>
          </a:extLst>
        </xdr:cNvPr>
        <xdr:cNvSpPr/>
      </xdr:nvSpPr>
      <xdr:spPr>
        <a:xfrm rot="10800000">
          <a:off x="1912620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784</xdr:row>
      <xdr:rowOff>0</xdr:rowOff>
    </xdr:from>
    <xdr:to>
      <xdr:col>39</xdr:col>
      <xdr:colOff>83820</xdr:colOff>
      <xdr:row>784</xdr:row>
      <xdr:rowOff>114300</xdr:rowOff>
    </xdr:to>
    <xdr:sp macro="" textlink="">
      <xdr:nvSpPr>
        <xdr:cNvPr id="6059" name="Arrow: Down 6058">
          <a:extLst>
            <a:ext uri="{FF2B5EF4-FFF2-40B4-BE49-F238E27FC236}">
              <a16:creationId xmlns:a16="http://schemas.microsoft.com/office/drawing/2014/main" id="{E4786096-5609-4F6F-B1CC-C3A6C052B725}"/>
            </a:ext>
          </a:extLst>
        </xdr:cNvPr>
        <xdr:cNvSpPr/>
      </xdr:nvSpPr>
      <xdr:spPr>
        <a:xfrm>
          <a:off x="1154430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784</xdr:row>
      <xdr:rowOff>0</xdr:rowOff>
    </xdr:from>
    <xdr:to>
      <xdr:col>71</xdr:col>
      <xdr:colOff>83820</xdr:colOff>
      <xdr:row>784</xdr:row>
      <xdr:rowOff>114300</xdr:rowOff>
    </xdr:to>
    <xdr:sp macro="" textlink="">
      <xdr:nvSpPr>
        <xdr:cNvPr id="6061" name="Arrow: Down 6060">
          <a:extLst>
            <a:ext uri="{FF2B5EF4-FFF2-40B4-BE49-F238E27FC236}">
              <a16:creationId xmlns:a16="http://schemas.microsoft.com/office/drawing/2014/main" id="{3CC999B3-39A1-4668-B091-DBC869E6C14A}"/>
            </a:ext>
          </a:extLst>
        </xdr:cNvPr>
        <xdr:cNvSpPr/>
      </xdr:nvSpPr>
      <xdr:spPr>
        <a:xfrm rot="10800000">
          <a:off x="2200656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785</xdr:row>
      <xdr:rowOff>0</xdr:rowOff>
    </xdr:from>
    <xdr:to>
      <xdr:col>64</xdr:col>
      <xdr:colOff>83820</xdr:colOff>
      <xdr:row>785</xdr:row>
      <xdr:rowOff>114300</xdr:rowOff>
    </xdr:to>
    <xdr:sp macro="" textlink="">
      <xdr:nvSpPr>
        <xdr:cNvPr id="6070" name="Arrow: Down 6069">
          <a:extLst>
            <a:ext uri="{FF2B5EF4-FFF2-40B4-BE49-F238E27FC236}">
              <a16:creationId xmlns:a16="http://schemas.microsoft.com/office/drawing/2014/main" id="{562058B7-4C3D-484A-B02F-358A95074172}"/>
            </a:ext>
          </a:extLst>
        </xdr:cNvPr>
        <xdr:cNvSpPr/>
      </xdr:nvSpPr>
      <xdr:spPr>
        <a:xfrm rot="10800000">
          <a:off x="19392900" y="143476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785</xdr:row>
      <xdr:rowOff>0</xdr:rowOff>
    </xdr:from>
    <xdr:to>
      <xdr:col>60</xdr:col>
      <xdr:colOff>83820</xdr:colOff>
      <xdr:row>785</xdr:row>
      <xdr:rowOff>114300</xdr:rowOff>
    </xdr:to>
    <xdr:sp macro="" textlink="">
      <xdr:nvSpPr>
        <xdr:cNvPr id="6075" name="Arrow: Down 6074">
          <a:extLst>
            <a:ext uri="{FF2B5EF4-FFF2-40B4-BE49-F238E27FC236}">
              <a16:creationId xmlns:a16="http://schemas.microsoft.com/office/drawing/2014/main" id="{806C7D66-F9EE-497F-A8AD-BFBC14A9718A}"/>
            </a:ext>
          </a:extLst>
        </xdr:cNvPr>
        <xdr:cNvSpPr/>
      </xdr:nvSpPr>
      <xdr:spPr>
        <a:xfrm rot="10800000">
          <a:off x="1912620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785</xdr:row>
      <xdr:rowOff>0</xdr:rowOff>
    </xdr:from>
    <xdr:to>
      <xdr:col>39</xdr:col>
      <xdr:colOff>83820</xdr:colOff>
      <xdr:row>785</xdr:row>
      <xdr:rowOff>114300</xdr:rowOff>
    </xdr:to>
    <xdr:sp macro="" textlink="">
      <xdr:nvSpPr>
        <xdr:cNvPr id="6076" name="Arrow: Down 6075">
          <a:extLst>
            <a:ext uri="{FF2B5EF4-FFF2-40B4-BE49-F238E27FC236}">
              <a16:creationId xmlns:a16="http://schemas.microsoft.com/office/drawing/2014/main" id="{7D47B04C-068A-432A-B56A-91D13B6A488D}"/>
            </a:ext>
          </a:extLst>
        </xdr:cNvPr>
        <xdr:cNvSpPr/>
      </xdr:nvSpPr>
      <xdr:spPr>
        <a:xfrm>
          <a:off x="1154430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785</xdr:row>
      <xdr:rowOff>0</xdr:rowOff>
    </xdr:from>
    <xdr:to>
      <xdr:col>71</xdr:col>
      <xdr:colOff>83820</xdr:colOff>
      <xdr:row>785</xdr:row>
      <xdr:rowOff>114300</xdr:rowOff>
    </xdr:to>
    <xdr:sp macro="" textlink="">
      <xdr:nvSpPr>
        <xdr:cNvPr id="6077" name="Arrow: Down 6076">
          <a:extLst>
            <a:ext uri="{FF2B5EF4-FFF2-40B4-BE49-F238E27FC236}">
              <a16:creationId xmlns:a16="http://schemas.microsoft.com/office/drawing/2014/main" id="{1A277BFA-C4A5-4C75-89B4-5D7C99CCE1F1}"/>
            </a:ext>
          </a:extLst>
        </xdr:cNvPr>
        <xdr:cNvSpPr/>
      </xdr:nvSpPr>
      <xdr:spPr>
        <a:xfrm rot="10800000">
          <a:off x="2200656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786</xdr:row>
      <xdr:rowOff>0</xdr:rowOff>
    </xdr:from>
    <xdr:to>
      <xdr:col>64</xdr:col>
      <xdr:colOff>83820</xdr:colOff>
      <xdr:row>786</xdr:row>
      <xdr:rowOff>114300</xdr:rowOff>
    </xdr:to>
    <xdr:sp macro="" textlink="">
      <xdr:nvSpPr>
        <xdr:cNvPr id="6086" name="Arrow: Down 6085">
          <a:extLst>
            <a:ext uri="{FF2B5EF4-FFF2-40B4-BE49-F238E27FC236}">
              <a16:creationId xmlns:a16="http://schemas.microsoft.com/office/drawing/2014/main" id="{A4093C99-8A6D-4B84-8D02-42412DC16A04}"/>
            </a:ext>
          </a:extLst>
        </xdr:cNvPr>
        <xdr:cNvSpPr/>
      </xdr:nvSpPr>
      <xdr:spPr>
        <a:xfrm rot="10800000">
          <a:off x="19392900" y="143659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786</xdr:row>
      <xdr:rowOff>0</xdr:rowOff>
    </xdr:from>
    <xdr:to>
      <xdr:col>24</xdr:col>
      <xdr:colOff>83820</xdr:colOff>
      <xdr:row>786</xdr:row>
      <xdr:rowOff>114300</xdr:rowOff>
    </xdr:to>
    <xdr:sp macro="" textlink="">
      <xdr:nvSpPr>
        <xdr:cNvPr id="6088" name="Arrow: Down 6087">
          <a:extLst>
            <a:ext uri="{FF2B5EF4-FFF2-40B4-BE49-F238E27FC236}">
              <a16:creationId xmlns:a16="http://schemas.microsoft.com/office/drawing/2014/main" id="{A5CDD794-68F0-4A2C-8BAF-DF2ED07E08FE}"/>
            </a:ext>
          </a:extLst>
        </xdr:cNvPr>
        <xdr:cNvSpPr/>
      </xdr:nvSpPr>
      <xdr:spPr>
        <a:xfrm rot="10800000">
          <a:off x="833628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786</xdr:row>
      <xdr:rowOff>0</xdr:rowOff>
    </xdr:from>
    <xdr:to>
      <xdr:col>11</xdr:col>
      <xdr:colOff>83820</xdr:colOff>
      <xdr:row>786</xdr:row>
      <xdr:rowOff>114300</xdr:rowOff>
    </xdr:to>
    <xdr:sp macro="" textlink="">
      <xdr:nvSpPr>
        <xdr:cNvPr id="6089" name="Arrow: Down 6088">
          <a:extLst>
            <a:ext uri="{FF2B5EF4-FFF2-40B4-BE49-F238E27FC236}">
              <a16:creationId xmlns:a16="http://schemas.microsoft.com/office/drawing/2014/main" id="{CDBA0AA2-09C9-4325-8095-EB2295B99B49}"/>
            </a:ext>
          </a:extLst>
        </xdr:cNvPr>
        <xdr:cNvSpPr/>
      </xdr:nvSpPr>
      <xdr:spPr>
        <a:xfrm rot="10800000">
          <a:off x="369570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786</xdr:row>
      <xdr:rowOff>0</xdr:rowOff>
    </xdr:from>
    <xdr:to>
      <xdr:col>5</xdr:col>
      <xdr:colOff>83820</xdr:colOff>
      <xdr:row>786</xdr:row>
      <xdr:rowOff>114300</xdr:rowOff>
    </xdr:to>
    <xdr:sp macro="" textlink="">
      <xdr:nvSpPr>
        <xdr:cNvPr id="6090" name="Arrow: Down 6089">
          <a:extLst>
            <a:ext uri="{FF2B5EF4-FFF2-40B4-BE49-F238E27FC236}">
              <a16:creationId xmlns:a16="http://schemas.microsoft.com/office/drawing/2014/main" id="{C2F0BACA-F114-479F-B615-80B0CD8E1BE7}"/>
            </a:ext>
          </a:extLst>
        </xdr:cNvPr>
        <xdr:cNvSpPr/>
      </xdr:nvSpPr>
      <xdr:spPr>
        <a:xfrm rot="10800000">
          <a:off x="192786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786</xdr:row>
      <xdr:rowOff>0</xdr:rowOff>
    </xdr:from>
    <xdr:to>
      <xdr:col>60</xdr:col>
      <xdr:colOff>83820</xdr:colOff>
      <xdr:row>786</xdr:row>
      <xdr:rowOff>114300</xdr:rowOff>
    </xdr:to>
    <xdr:sp macro="" textlink="">
      <xdr:nvSpPr>
        <xdr:cNvPr id="6091" name="Arrow: Down 6090">
          <a:extLst>
            <a:ext uri="{FF2B5EF4-FFF2-40B4-BE49-F238E27FC236}">
              <a16:creationId xmlns:a16="http://schemas.microsoft.com/office/drawing/2014/main" id="{11CBAC02-A847-420B-81CD-C9CCD0F38497}"/>
            </a:ext>
          </a:extLst>
        </xdr:cNvPr>
        <xdr:cNvSpPr/>
      </xdr:nvSpPr>
      <xdr:spPr>
        <a:xfrm rot="10800000">
          <a:off x="1912620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786</xdr:row>
      <xdr:rowOff>0</xdr:rowOff>
    </xdr:from>
    <xdr:to>
      <xdr:col>39</xdr:col>
      <xdr:colOff>83820</xdr:colOff>
      <xdr:row>786</xdr:row>
      <xdr:rowOff>114300</xdr:rowOff>
    </xdr:to>
    <xdr:sp macro="" textlink="">
      <xdr:nvSpPr>
        <xdr:cNvPr id="6092" name="Arrow: Down 6091">
          <a:extLst>
            <a:ext uri="{FF2B5EF4-FFF2-40B4-BE49-F238E27FC236}">
              <a16:creationId xmlns:a16="http://schemas.microsoft.com/office/drawing/2014/main" id="{0F2623CA-586E-4C77-9469-A2FF9481CA1D}"/>
            </a:ext>
          </a:extLst>
        </xdr:cNvPr>
        <xdr:cNvSpPr/>
      </xdr:nvSpPr>
      <xdr:spPr>
        <a:xfrm>
          <a:off x="1154430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83820</xdr:colOff>
      <xdr:row>785</xdr:row>
      <xdr:rowOff>114300</xdr:rowOff>
    </xdr:to>
    <xdr:sp macro="" textlink="">
      <xdr:nvSpPr>
        <xdr:cNvPr id="6095" name="Arrow: Down 6094">
          <a:extLst>
            <a:ext uri="{FF2B5EF4-FFF2-40B4-BE49-F238E27FC236}">
              <a16:creationId xmlns:a16="http://schemas.microsoft.com/office/drawing/2014/main" id="{23F9CEB8-FE88-43DA-BA1D-CD8CB4A279A8}"/>
            </a:ext>
          </a:extLst>
        </xdr:cNvPr>
        <xdr:cNvSpPr/>
      </xdr:nvSpPr>
      <xdr:spPr>
        <a:xfrm>
          <a:off x="1927860" y="1436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785</xdr:row>
      <xdr:rowOff>0</xdr:rowOff>
    </xdr:from>
    <xdr:to>
      <xdr:col>11</xdr:col>
      <xdr:colOff>83820</xdr:colOff>
      <xdr:row>785</xdr:row>
      <xdr:rowOff>114300</xdr:rowOff>
    </xdr:to>
    <xdr:sp macro="" textlink="">
      <xdr:nvSpPr>
        <xdr:cNvPr id="6096" name="Arrow: Down 6095">
          <a:extLst>
            <a:ext uri="{FF2B5EF4-FFF2-40B4-BE49-F238E27FC236}">
              <a16:creationId xmlns:a16="http://schemas.microsoft.com/office/drawing/2014/main" id="{B70DE266-7A5A-4DA8-938B-F8EA4CBA8896}"/>
            </a:ext>
          </a:extLst>
        </xdr:cNvPr>
        <xdr:cNvSpPr/>
      </xdr:nvSpPr>
      <xdr:spPr>
        <a:xfrm>
          <a:off x="3695700" y="1436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785</xdr:row>
      <xdr:rowOff>0</xdr:rowOff>
    </xdr:from>
    <xdr:to>
      <xdr:col>24</xdr:col>
      <xdr:colOff>83820</xdr:colOff>
      <xdr:row>785</xdr:row>
      <xdr:rowOff>114300</xdr:rowOff>
    </xdr:to>
    <xdr:sp macro="" textlink="">
      <xdr:nvSpPr>
        <xdr:cNvPr id="6098" name="Arrow: Down 6097">
          <a:extLst>
            <a:ext uri="{FF2B5EF4-FFF2-40B4-BE49-F238E27FC236}">
              <a16:creationId xmlns:a16="http://schemas.microsoft.com/office/drawing/2014/main" id="{ECCF8A24-8038-455A-93E2-136EAA061D71}"/>
            </a:ext>
          </a:extLst>
        </xdr:cNvPr>
        <xdr:cNvSpPr/>
      </xdr:nvSpPr>
      <xdr:spPr>
        <a:xfrm>
          <a:off x="8336280" y="1436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787</xdr:row>
      <xdr:rowOff>0</xdr:rowOff>
    </xdr:from>
    <xdr:to>
      <xdr:col>64</xdr:col>
      <xdr:colOff>83820</xdr:colOff>
      <xdr:row>787</xdr:row>
      <xdr:rowOff>114300</xdr:rowOff>
    </xdr:to>
    <xdr:sp macro="" textlink="">
      <xdr:nvSpPr>
        <xdr:cNvPr id="6099" name="Arrow: Down 6098">
          <a:extLst>
            <a:ext uri="{FF2B5EF4-FFF2-40B4-BE49-F238E27FC236}">
              <a16:creationId xmlns:a16="http://schemas.microsoft.com/office/drawing/2014/main" id="{84076371-1815-4D8A-AF84-1B387552ECB2}"/>
            </a:ext>
          </a:extLst>
        </xdr:cNvPr>
        <xdr:cNvSpPr/>
      </xdr:nvSpPr>
      <xdr:spPr>
        <a:xfrm rot="10800000">
          <a:off x="19392900" y="143842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787</xdr:row>
      <xdr:rowOff>0</xdr:rowOff>
    </xdr:from>
    <xdr:to>
      <xdr:col>60</xdr:col>
      <xdr:colOff>83820</xdr:colOff>
      <xdr:row>787</xdr:row>
      <xdr:rowOff>114300</xdr:rowOff>
    </xdr:to>
    <xdr:sp macro="" textlink="">
      <xdr:nvSpPr>
        <xdr:cNvPr id="6104" name="Arrow: Down 6103">
          <a:extLst>
            <a:ext uri="{FF2B5EF4-FFF2-40B4-BE49-F238E27FC236}">
              <a16:creationId xmlns:a16="http://schemas.microsoft.com/office/drawing/2014/main" id="{3A7ECCD8-FDDE-417C-B8B9-AEE4071C5F92}"/>
            </a:ext>
          </a:extLst>
        </xdr:cNvPr>
        <xdr:cNvSpPr/>
      </xdr:nvSpPr>
      <xdr:spPr>
        <a:xfrm rot="10800000">
          <a:off x="1912620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787</xdr:row>
      <xdr:rowOff>0</xdr:rowOff>
    </xdr:from>
    <xdr:to>
      <xdr:col>39</xdr:col>
      <xdr:colOff>83820</xdr:colOff>
      <xdr:row>787</xdr:row>
      <xdr:rowOff>114300</xdr:rowOff>
    </xdr:to>
    <xdr:sp macro="" textlink="">
      <xdr:nvSpPr>
        <xdr:cNvPr id="6105" name="Arrow: Down 6104">
          <a:extLst>
            <a:ext uri="{FF2B5EF4-FFF2-40B4-BE49-F238E27FC236}">
              <a16:creationId xmlns:a16="http://schemas.microsoft.com/office/drawing/2014/main" id="{0C860A1E-9A69-4230-90EA-F6E0051BECDC}"/>
            </a:ext>
          </a:extLst>
        </xdr:cNvPr>
        <xdr:cNvSpPr/>
      </xdr:nvSpPr>
      <xdr:spPr>
        <a:xfrm>
          <a:off x="1154430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787</xdr:row>
      <xdr:rowOff>0</xdr:rowOff>
    </xdr:from>
    <xdr:to>
      <xdr:col>71</xdr:col>
      <xdr:colOff>83820</xdr:colOff>
      <xdr:row>787</xdr:row>
      <xdr:rowOff>114300</xdr:rowOff>
    </xdr:to>
    <xdr:sp macro="" textlink="">
      <xdr:nvSpPr>
        <xdr:cNvPr id="6106" name="Arrow: Down 6105">
          <a:extLst>
            <a:ext uri="{FF2B5EF4-FFF2-40B4-BE49-F238E27FC236}">
              <a16:creationId xmlns:a16="http://schemas.microsoft.com/office/drawing/2014/main" id="{E1FD3C4B-D17E-491B-B09C-9AB536E75DD5}"/>
            </a:ext>
          </a:extLst>
        </xdr:cNvPr>
        <xdr:cNvSpPr/>
      </xdr:nvSpPr>
      <xdr:spPr>
        <a:xfrm rot="10800000">
          <a:off x="2200656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782</xdr:row>
      <xdr:rowOff>7620</xdr:rowOff>
    </xdr:from>
    <xdr:to>
      <xdr:col>45</xdr:col>
      <xdr:colOff>83820</xdr:colOff>
      <xdr:row>782</xdr:row>
      <xdr:rowOff>121920</xdr:rowOff>
    </xdr:to>
    <xdr:sp macro="" textlink="">
      <xdr:nvSpPr>
        <xdr:cNvPr id="6107" name="Arrow: Down 6106">
          <a:extLst>
            <a:ext uri="{FF2B5EF4-FFF2-40B4-BE49-F238E27FC236}">
              <a16:creationId xmlns:a16="http://schemas.microsoft.com/office/drawing/2014/main" id="{75FFAEFE-F7AF-473E-979B-56B78702D32C}"/>
            </a:ext>
          </a:extLst>
        </xdr:cNvPr>
        <xdr:cNvSpPr/>
      </xdr:nvSpPr>
      <xdr:spPr>
        <a:xfrm>
          <a:off x="13403580" y="14311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783</xdr:row>
      <xdr:rowOff>0</xdr:rowOff>
    </xdr:from>
    <xdr:to>
      <xdr:col>45</xdr:col>
      <xdr:colOff>83820</xdr:colOff>
      <xdr:row>783</xdr:row>
      <xdr:rowOff>114300</xdr:rowOff>
    </xdr:to>
    <xdr:sp macro="" textlink="">
      <xdr:nvSpPr>
        <xdr:cNvPr id="6108" name="Arrow: Down 6107">
          <a:extLst>
            <a:ext uri="{FF2B5EF4-FFF2-40B4-BE49-F238E27FC236}">
              <a16:creationId xmlns:a16="http://schemas.microsoft.com/office/drawing/2014/main" id="{C574193B-3D57-4E33-AA47-9A118A3477D5}"/>
            </a:ext>
          </a:extLst>
        </xdr:cNvPr>
        <xdr:cNvSpPr/>
      </xdr:nvSpPr>
      <xdr:spPr>
        <a:xfrm>
          <a:off x="1340358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784</xdr:row>
      <xdr:rowOff>0</xdr:rowOff>
    </xdr:from>
    <xdr:to>
      <xdr:col>45</xdr:col>
      <xdr:colOff>83820</xdr:colOff>
      <xdr:row>784</xdr:row>
      <xdr:rowOff>114300</xdr:rowOff>
    </xdr:to>
    <xdr:sp macro="" textlink="">
      <xdr:nvSpPr>
        <xdr:cNvPr id="6109" name="Arrow: Down 6108">
          <a:extLst>
            <a:ext uri="{FF2B5EF4-FFF2-40B4-BE49-F238E27FC236}">
              <a16:creationId xmlns:a16="http://schemas.microsoft.com/office/drawing/2014/main" id="{2346CAEC-90F7-4098-9A0D-D7D15B4005DB}"/>
            </a:ext>
          </a:extLst>
        </xdr:cNvPr>
        <xdr:cNvSpPr/>
      </xdr:nvSpPr>
      <xdr:spPr>
        <a:xfrm>
          <a:off x="1340358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785</xdr:row>
      <xdr:rowOff>0</xdr:rowOff>
    </xdr:from>
    <xdr:to>
      <xdr:col>45</xdr:col>
      <xdr:colOff>83820</xdr:colOff>
      <xdr:row>785</xdr:row>
      <xdr:rowOff>114300</xdr:rowOff>
    </xdr:to>
    <xdr:sp macro="" textlink="">
      <xdr:nvSpPr>
        <xdr:cNvPr id="6111" name="Arrow: Down 6110">
          <a:extLst>
            <a:ext uri="{FF2B5EF4-FFF2-40B4-BE49-F238E27FC236}">
              <a16:creationId xmlns:a16="http://schemas.microsoft.com/office/drawing/2014/main" id="{0DA98C58-EFD5-4B90-AAAA-AEBBAF2CA8C8}"/>
            </a:ext>
          </a:extLst>
        </xdr:cNvPr>
        <xdr:cNvSpPr/>
      </xdr:nvSpPr>
      <xdr:spPr>
        <a:xfrm>
          <a:off x="1340358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786</xdr:row>
      <xdr:rowOff>0</xdr:rowOff>
    </xdr:from>
    <xdr:to>
      <xdr:col>45</xdr:col>
      <xdr:colOff>83820</xdr:colOff>
      <xdr:row>786</xdr:row>
      <xdr:rowOff>114300</xdr:rowOff>
    </xdr:to>
    <xdr:sp macro="" textlink="">
      <xdr:nvSpPr>
        <xdr:cNvPr id="6113" name="Arrow: Down 6112">
          <a:extLst>
            <a:ext uri="{FF2B5EF4-FFF2-40B4-BE49-F238E27FC236}">
              <a16:creationId xmlns:a16="http://schemas.microsoft.com/office/drawing/2014/main" id="{2B667B21-748C-4032-A4D0-362AA576C632}"/>
            </a:ext>
          </a:extLst>
        </xdr:cNvPr>
        <xdr:cNvSpPr/>
      </xdr:nvSpPr>
      <xdr:spPr>
        <a:xfrm>
          <a:off x="1340358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787</xdr:row>
      <xdr:rowOff>0</xdr:rowOff>
    </xdr:from>
    <xdr:to>
      <xdr:col>45</xdr:col>
      <xdr:colOff>83820</xdr:colOff>
      <xdr:row>787</xdr:row>
      <xdr:rowOff>114300</xdr:rowOff>
    </xdr:to>
    <xdr:sp macro="" textlink="">
      <xdr:nvSpPr>
        <xdr:cNvPr id="6115" name="Arrow: Down 6114">
          <a:extLst>
            <a:ext uri="{FF2B5EF4-FFF2-40B4-BE49-F238E27FC236}">
              <a16:creationId xmlns:a16="http://schemas.microsoft.com/office/drawing/2014/main" id="{1500F8C4-6D61-4DD7-8A84-7A3AEEBF2037}"/>
            </a:ext>
          </a:extLst>
        </xdr:cNvPr>
        <xdr:cNvSpPr/>
      </xdr:nvSpPr>
      <xdr:spPr>
        <a:xfrm>
          <a:off x="1340358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787</xdr:row>
      <xdr:rowOff>0</xdr:rowOff>
    </xdr:from>
    <xdr:to>
      <xdr:col>11</xdr:col>
      <xdr:colOff>83820</xdr:colOff>
      <xdr:row>787</xdr:row>
      <xdr:rowOff>114300</xdr:rowOff>
    </xdr:to>
    <xdr:sp macro="" textlink="">
      <xdr:nvSpPr>
        <xdr:cNvPr id="6116" name="Arrow: Down 6115">
          <a:extLst>
            <a:ext uri="{FF2B5EF4-FFF2-40B4-BE49-F238E27FC236}">
              <a16:creationId xmlns:a16="http://schemas.microsoft.com/office/drawing/2014/main" id="{C868C70B-4963-4267-896B-AF9E1BC80845}"/>
            </a:ext>
          </a:extLst>
        </xdr:cNvPr>
        <xdr:cNvSpPr/>
      </xdr:nvSpPr>
      <xdr:spPr>
        <a:xfrm>
          <a:off x="369570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787</xdr:row>
      <xdr:rowOff>0</xdr:rowOff>
    </xdr:from>
    <xdr:to>
      <xdr:col>5</xdr:col>
      <xdr:colOff>83820</xdr:colOff>
      <xdr:row>787</xdr:row>
      <xdr:rowOff>114300</xdr:rowOff>
    </xdr:to>
    <xdr:sp macro="" textlink="">
      <xdr:nvSpPr>
        <xdr:cNvPr id="6117" name="Arrow: Down 6116">
          <a:extLst>
            <a:ext uri="{FF2B5EF4-FFF2-40B4-BE49-F238E27FC236}">
              <a16:creationId xmlns:a16="http://schemas.microsoft.com/office/drawing/2014/main" id="{78FFE718-5C1D-4B04-810A-75F697504E95}"/>
            </a:ext>
          </a:extLst>
        </xdr:cNvPr>
        <xdr:cNvSpPr/>
      </xdr:nvSpPr>
      <xdr:spPr>
        <a:xfrm>
          <a:off x="192786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788</xdr:row>
      <xdr:rowOff>0</xdr:rowOff>
    </xdr:from>
    <xdr:to>
      <xdr:col>64</xdr:col>
      <xdr:colOff>83820</xdr:colOff>
      <xdr:row>788</xdr:row>
      <xdr:rowOff>114300</xdr:rowOff>
    </xdr:to>
    <xdr:sp macro="" textlink="">
      <xdr:nvSpPr>
        <xdr:cNvPr id="6118" name="Arrow: Down 6117">
          <a:extLst>
            <a:ext uri="{FF2B5EF4-FFF2-40B4-BE49-F238E27FC236}">
              <a16:creationId xmlns:a16="http://schemas.microsoft.com/office/drawing/2014/main" id="{C4478669-E06B-48C4-9277-55514EC14507}"/>
            </a:ext>
          </a:extLst>
        </xdr:cNvPr>
        <xdr:cNvSpPr/>
      </xdr:nvSpPr>
      <xdr:spPr>
        <a:xfrm rot="10800000">
          <a:off x="19392900" y="144025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788</xdr:row>
      <xdr:rowOff>0</xdr:rowOff>
    </xdr:from>
    <xdr:to>
      <xdr:col>39</xdr:col>
      <xdr:colOff>83820</xdr:colOff>
      <xdr:row>788</xdr:row>
      <xdr:rowOff>114300</xdr:rowOff>
    </xdr:to>
    <xdr:sp macro="" textlink="">
      <xdr:nvSpPr>
        <xdr:cNvPr id="6121" name="Arrow: Down 6120">
          <a:extLst>
            <a:ext uri="{FF2B5EF4-FFF2-40B4-BE49-F238E27FC236}">
              <a16:creationId xmlns:a16="http://schemas.microsoft.com/office/drawing/2014/main" id="{AB1E007E-D04A-4F2D-8786-1324573F276C}"/>
            </a:ext>
          </a:extLst>
        </xdr:cNvPr>
        <xdr:cNvSpPr/>
      </xdr:nvSpPr>
      <xdr:spPr>
        <a:xfrm>
          <a:off x="1154430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788</xdr:row>
      <xdr:rowOff>0</xdr:rowOff>
    </xdr:from>
    <xdr:to>
      <xdr:col>71</xdr:col>
      <xdr:colOff>83820</xdr:colOff>
      <xdr:row>788</xdr:row>
      <xdr:rowOff>114300</xdr:rowOff>
    </xdr:to>
    <xdr:sp macro="" textlink="">
      <xdr:nvSpPr>
        <xdr:cNvPr id="6122" name="Arrow: Down 6121">
          <a:extLst>
            <a:ext uri="{FF2B5EF4-FFF2-40B4-BE49-F238E27FC236}">
              <a16:creationId xmlns:a16="http://schemas.microsoft.com/office/drawing/2014/main" id="{B5C82683-B6D2-4E21-8D1E-16A25E4DD553}"/>
            </a:ext>
          </a:extLst>
        </xdr:cNvPr>
        <xdr:cNvSpPr/>
      </xdr:nvSpPr>
      <xdr:spPr>
        <a:xfrm rot="10800000">
          <a:off x="2200656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788</xdr:row>
      <xdr:rowOff>0</xdr:rowOff>
    </xdr:from>
    <xdr:to>
      <xdr:col>45</xdr:col>
      <xdr:colOff>83820</xdr:colOff>
      <xdr:row>788</xdr:row>
      <xdr:rowOff>114300</xdr:rowOff>
    </xdr:to>
    <xdr:sp macro="" textlink="">
      <xdr:nvSpPr>
        <xdr:cNvPr id="6123" name="Arrow: Down 6122">
          <a:extLst>
            <a:ext uri="{FF2B5EF4-FFF2-40B4-BE49-F238E27FC236}">
              <a16:creationId xmlns:a16="http://schemas.microsoft.com/office/drawing/2014/main" id="{3FCC193B-506E-4BFD-88BB-6363317E85BE}"/>
            </a:ext>
          </a:extLst>
        </xdr:cNvPr>
        <xdr:cNvSpPr/>
      </xdr:nvSpPr>
      <xdr:spPr>
        <a:xfrm>
          <a:off x="1340358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788</xdr:row>
      <xdr:rowOff>0</xdr:rowOff>
    </xdr:from>
    <xdr:to>
      <xdr:col>11</xdr:col>
      <xdr:colOff>83820</xdr:colOff>
      <xdr:row>788</xdr:row>
      <xdr:rowOff>114300</xdr:rowOff>
    </xdr:to>
    <xdr:sp macro="" textlink="">
      <xdr:nvSpPr>
        <xdr:cNvPr id="6124" name="Arrow: Down 6123">
          <a:extLst>
            <a:ext uri="{FF2B5EF4-FFF2-40B4-BE49-F238E27FC236}">
              <a16:creationId xmlns:a16="http://schemas.microsoft.com/office/drawing/2014/main" id="{50DA0065-A7B2-4244-9F10-42F93DD9E00A}"/>
            </a:ext>
          </a:extLst>
        </xdr:cNvPr>
        <xdr:cNvSpPr/>
      </xdr:nvSpPr>
      <xdr:spPr>
        <a:xfrm>
          <a:off x="369570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788</xdr:row>
      <xdr:rowOff>0</xdr:rowOff>
    </xdr:from>
    <xdr:to>
      <xdr:col>5</xdr:col>
      <xdr:colOff>83820</xdr:colOff>
      <xdr:row>788</xdr:row>
      <xdr:rowOff>114300</xdr:rowOff>
    </xdr:to>
    <xdr:sp macro="" textlink="">
      <xdr:nvSpPr>
        <xdr:cNvPr id="6125" name="Arrow: Down 6124">
          <a:extLst>
            <a:ext uri="{FF2B5EF4-FFF2-40B4-BE49-F238E27FC236}">
              <a16:creationId xmlns:a16="http://schemas.microsoft.com/office/drawing/2014/main" id="{8E76ACE0-0AD6-4179-A5CE-24CD6E46824E}"/>
            </a:ext>
          </a:extLst>
        </xdr:cNvPr>
        <xdr:cNvSpPr/>
      </xdr:nvSpPr>
      <xdr:spPr>
        <a:xfrm>
          <a:off x="192786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787</xdr:row>
      <xdr:rowOff>0</xdr:rowOff>
    </xdr:from>
    <xdr:to>
      <xdr:col>24</xdr:col>
      <xdr:colOff>83820</xdr:colOff>
      <xdr:row>787</xdr:row>
      <xdr:rowOff>114300</xdr:rowOff>
    </xdr:to>
    <xdr:sp macro="" textlink="">
      <xdr:nvSpPr>
        <xdr:cNvPr id="6127" name="Arrow: Down 6126">
          <a:extLst>
            <a:ext uri="{FF2B5EF4-FFF2-40B4-BE49-F238E27FC236}">
              <a16:creationId xmlns:a16="http://schemas.microsoft.com/office/drawing/2014/main" id="{35B6115C-7FF8-4F2E-84C8-98E668FE6795}"/>
            </a:ext>
          </a:extLst>
        </xdr:cNvPr>
        <xdr:cNvSpPr/>
      </xdr:nvSpPr>
      <xdr:spPr>
        <a:xfrm>
          <a:off x="833628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788</xdr:row>
      <xdr:rowOff>0</xdr:rowOff>
    </xdr:from>
    <xdr:to>
      <xdr:col>24</xdr:col>
      <xdr:colOff>83820</xdr:colOff>
      <xdr:row>788</xdr:row>
      <xdr:rowOff>114300</xdr:rowOff>
    </xdr:to>
    <xdr:sp macro="" textlink="">
      <xdr:nvSpPr>
        <xdr:cNvPr id="6129" name="Arrow: Down 6128">
          <a:extLst>
            <a:ext uri="{FF2B5EF4-FFF2-40B4-BE49-F238E27FC236}">
              <a16:creationId xmlns:a16="http://schemas.microsoft.com/office/drawing/2014/main" id="{A15B2D8E-5CCF-4C26-BDA6-AB194792DF93}"/>
            </a:ext>
          </a:extLst>
        </xdr:cNvPr>
        <xdr:cNvSpPr/>
      </xdr:nvSpPr>
      <xdr:spPr>
        <a:xfrm>
          <a:off x="8336280" y="1442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788</xdr:row>
      <xdr:rowOff>0</xdr:rowOff>
    </xdr:from>
    <xdr:to>
      <xdr:col>60</xdr:col>
      <xdr:colOff>83820</xdr:colOff>
      <xdr:row>788</xdr:row>
      <xdr:rowOff>114300</xdr:rowOff>
    </xdr:to>
    <xdr:sp macro="" textlink="">
      <xdr:nvSpPr>
        <xdr:cNvPr id="6130" name="Arrow: Down 6129">
          <a:extLst>
            <a:ext uri="{FF2B5EF4-FFF2-40B4-BE49-F238E27FC236}">
              <a16:creationId xmlns:a16="http://schemas.microsoft.com/office/drawing/2014/main" id="{94D5BC0D-1AFC-4B57-A56C-97CF38FDE483}"/>
            </a:ext>
          </a:extLst>
        </xdr:cNvPr>
        <xdr:cNvSpPr/>
      </xdr:nvSpPr>
      <xdr:spPr>
        <a:xfrm>
          <a:off x="19126200" y="1442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789</xdr:row>
      <xdr:rowOff>0</xdr:rowOff>
    </xdr:from>
    <xdr:to>
      <xdr:col>64</xdr:col>
      <xdr:colOff>83820</xdr:colOff>
      <xdr:row>789</xdr:row>
      <xdr:rowOff>114300</xdr:rowOff>
    </xdr:to>
    <xdr:sp macro="" textlink="">
      <xdr:nvSpPr>
        <xdr:cNvPr id="5748" name="Arrow: Down 5747">
          <a:extLst>
            <a:ext uri="{FF2B5EF4-FFF2-40B4-BE49-F238E27FC236}">
              <a16:creationId xmlns:a16="http://schemas.microsoft.com/office/drawing/2014/main" id="{4E5DBC77-B425-4016-A163-C8CFDD4523B4}"/>
            </a:ext>
          </a:extLst>
        </xdr:cNvPr>
        <xdr:cNvSpPr/>
      </xdr:nvSpPr>
      <xdr:spPr>
        <a:xfrm rot="10800000">
          <a:off x="19392900" y="144208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789</xdr:row>
      <xdr:rowOff>0</xdr:rowOff>
    </xdr:from>
    <xdr:to>
      <xdr:col>60</xdr:col>
      <xdr:colOff>83820</xdr:colOff>
      <xdr:row>789</xdr:row>
      <xdr:rowOff>114300</xdr:rowOff>
    </xdr:to>
    <xdr:sp macro="" textlink="">
      <xdr:nvSpPr>
        <xdr:cNvPr id="5808" name="Arrow: Down 5807">
          <a:extLst>
            <a:ext uri="{FF2B5EF4-FFF2-40B4-BE49-F238E27FC236}">
              <a16:creationId xmlns:a16="http://schemas.microsoft.com/office/drawing/2014/main" id="{17C6742D-B637-433F-8AE2-4888B5B18973}"/>
            </a:ext>
          </a:extLst>
        </xdr:cNvPr>
        <xdr:cNvSpPr/>
      </xdr:nvSpPr>
      <xdr:spPr>
        <a:xfrm>
          <a:off x="19126200" y="1442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786</xdr:row>
      <xdr:rowOff>0</xdr:rowOff>
    </xdr:from>
    <xdr:to>
      <xdr:col>71</xdr:col>
      <xdr:colOff>83820</xdr:colOff>
      <xdr:row>786</xdr:row>
      <xdr:rowOff>114300</xdr:rowOff>
    </xdr:to>
    <xdr:sp macro="" textlink="">
      <xdr:nvSpPr>
        <xdr:cNvPr id="5824" name="Arrow: Down 5823">
          <a:extLst>
            <a:ext uri="{FF2B5EF4-FFF2-40B4-BE49-F238E27FC236}">
              <a16:creationId xmlns:a16="http://schemas.microsoft.com/office/drawing/2014/main" id="{ABD09EB5-CBED-4F6C-A3ED-23F66F687903}"/>
            </a:ext>
          </a:extLst>
        </xdr:cNvPr>
        <xdr:cNvSpPr/>
      </xdr:nvSpPr>
      <xdr:spPr>
        <a:xfrm>
          <a:off x="22006560" y="1438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789</xdr:row>
      <xdr:rowOff>0</xdr:rowOff>
    </xdr:from>
    <xdr:to>
      <xdr:col>71</xdr:col>
      <xdr:colOff>83820</xdr:colOff>
      <xdr:row>789</xdr:row>
      <xdr:rowOff>114300</xdr:rowOff>
    </xdr:to>
    <xdr:sp macro="" textlink="">
      <xdr:nvSpPr>
        <xdr:cNvPr id="5828" name="Arrow: Down 5827">
          <a:extLst>
            <a:ext uri="{FF2B5EF4-FFF2-40B4-BE49-F238E27FC236}">
              <a16:creationId xmlns:a16="http://schemas.microsoft.com/office/drawing/2014/main" id="{0416855A-8F72-4E0A-9D98-BC9D49BF58E4}"/>
            </a:ext>
          </a:extLst>
        </xdr:cNvPr>
        <xdr:cNvSpPr/>
      </xdr:nvSpPr>
      <xdr:spPr>
        <a:xfrm>
          <a:off x="22006560" y="1443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789</xdr:row>
      <xdr:rowOff>0</xdr:rowOff>
    </xdr:from>
    <xdr:to>
      <xdr:col>45</xdr:col>
      <xdr:colOff>83820</xdr:colOff>
      <xdr:row>789</xdr:row>
      <xdr:rowOff>114300</xdr:rowOff>
    </xdr:to>
    <xdr:sp macro="" textlink="">
      <xdr:nvSpPr>
        <xdr:cNvPr id="5834" name="Arrow: Down 5833">
          <a:extLst>
            <a:ext uri="{FF2B5EF4-FFF2-40B4-BE49-F238E27FC236}">
              <a16:creationId xmlns:a16="http://schemas.microsoft.com/office/drawing/2014/main" id="{DB695988-6FD0-42E5-91C0-E91843C80980}"/>
            </a:ext>
          </a:extLst>
        </xdr:cNvPr>
        <xdr:cNvSpPr/>
      </xdr:nvSpPr>
      <xdr:spPr>
        <a:xfrm rot="10800000">
          <a:off x="13403580" y="144391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789</xdr:row>
      <xdr:rowOff>0</xdr:rowOff>
    </xdr:from>
    <xdr:to>
      <xdr:col>39</xdr:col>
      <xdr:colOff>83820</xdr:colOff>
      <xdr:row>789</xdr:row>
      <xdr:rowOff>114300</xdr:rowOff>
    </xdr:to>
    <xdr:sp macro="" textlink="">
      <xdr:nvSpPr>
        <xdr:cNvPr id="5839" name="Arrow: Down 5838">
          <a:extLst>
            <a:ext uri="{FF2B5EF4-FFF2-40B4-BE49-F238E27FC236}">
              <a16:creationId xmlns:a16="http://schemas.microsoft.com/office/drawing/2014/main" id="{6F7B8639-3116-47C5-9DF5-3DD9B533EC3D}"/>
            </a:ext>
          </a:extLst>
        </xdr:cNvPr>
        <xdr:cNvSpPr/>
      </xdr:nvSpPr>
      <xdr:spPr>
        <a:xfrm rot="10800000">
          <a:off x="11544300" y="144391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789</xdr:row>
      <xdr:rowOff>0</xdr:rowOff>
    </xdr:from>
    <xdr:to>
      <xdr:col>24</xdr:col>
      <xdr:colOff>83820</xdr:colOff>
      <xdr:row>789</xdr:row>
      <xdr:rowOff>114300</xdr:rowOff>
    </xdr:to>
    <xdr:sp macro="" textlink="">
      <xdr:nvSpPr>
        <xdr:cNvPr id="5841" name="Arrow: Down 5840">
          <a:extLst>
            <a:ext uri="{FF2B5EF4-FFF2-40B4-BE49-F238E27FC236}">
              <a16:creationId xmlns:a16="http://schemas.microsoft.com/office/drawing/2014/main" id="{3058DB04-8ECE-4727-B3B0-64AADDBC2D84}"/>
            </a:ext>
          </a:extLst>
        </xdr:cNvPr>
        <xdr:cNvSpPr/>
      </xdr:nvSpPr>
      <xdr:spPr>
        <a:xfrm rot="10800000">
          <a:off x="833628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789</xdr:row>
      <xdr:rowOff>0</xdr:rowOff>
    </xdr:from>
    <xdr:to>
      <xdr:col>11</xdr:col>
      <xdr:colOff>83820</xdr:colOff>
      <xdr:row>789</xdr:row>
      <xdr:rowOff>114300</xdr:rowOff>
    </xdr:to>
    <xdr:sp macro="" textlink="">
      <xdr:nvSpPr>
        <xdr:cNvPr id="5842" name="Arrow: Down 5841">
          <a:extLst>
            <a:ext uri="{FF2B5EF4-FFF2-40B4-BE49-F238E27FC236}">
              <a16:creationId xmlns:a16="http://schemas.microsoft.com/office/drawing/2014/main" id="{6E1DDC58-E599-4915-B121-B8EA87D6CA8C}"/>
            </a:ext>
          </a:extLst>
        </xdr:cNvPr>
        <xdr:cNvSpPr/>
      </xdr:nvSpPr>
      <xdr:spPr>
        <a:xfrm rot="10800000">
          <a:off x="369570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789</xdr:row>
      <xdr:rowOff>0</xdr:rowOff>
    </xdr:from>
    <xdr:to>
      <xdr:col>5</xdr:col>
      <xdr:colOff>83820</xdr:colOff>
      <xdr:row>789</xdr:row>
      <xdr:rowOff>114300</xdr:rowOff>
    </xdr:to>
    <xdr:sp macro="" textlink="">
      <xdr:nvSpPr>
        <xdr:cNvPr id="5853" name="Arrow: Down 5852">
          <a:extLst>
            <a:ext uri="{FF2B5EF4-FFF2-40B4-BE49-F238E27FC236}">
              <a16:creationId xmlns:a16="http://schemas.microsoft.com/office/drawing/2014/main" id="{C48A3202-5F39-463A-9156-F044E9258C3E}"/>
            </a:ext>
          </a:extLst>
        </xdr:cNvPr>
        <xdr:cNvSpPr/>
      </xdr:nvSpPr>
      <xdr:spPr>
        <a:xfrm rot="10800000">
          <a:off x="192786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790</xdr:row>
      <xdr:rowOff>0</xdr:rowOff>
    </xdr:from>
    <xdr:to>
      <xdr:col>64</xdr:col>
      <xdr:colOff>83820</xdr:colOff>
      <xdr:row>790</xdr:row>
      <xdr:rowOff>114300</xdr:rowOff>
    </xdr:to>
    <xdr:sp macro="" textlink="">
      <xdr:nvSpPr>
        <xdr:cNvPr id="5869" name="Arrow: Down 5868">
          <a:extLst>
            <a:ext uri="{FF2B5EF4-FFF2-40B4-BE49-F238E27FC236}">
              <a16:creationId xmlns:a16="http://schemas.microsoft.com/office/drawing/2014/main" id="{725C4EEC-724B-41E0-BCDE-C454D1AC52F6}"/>
            </a:ext>
          </a:extLst>
        </xdr:cNvPr>
        <xdr:cNvSpPr/>
      </xdr:nvSpPr>
      <xdr:spPr>
        <a:xfrm rot="10800000">
          <a:off x="19392900" y="144391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790</xdr:row>
      <xdr:rowOff>0</xdr:rowOff>
    </xdr:from>
    <xdr:to>
      <xdr:col>24</xdr:col>
      <xdr:colOff>83820</xdr:colOff>
      <xdr:row>790</xdr:row>
      <xdr:rowOff>114300</xdr:rowOff>
    </xdr:to>
    <xdr:sp macro="" textlink="">
      <xdr:nvSpPr>
        <xdr:cNvPr id="5888" name="Arrow: Down 5887">
          <a:extLst>
            <a:ext uri="{FF2B5EF4-FFF2-40B4-BE49-F238E27FC236}">
              <a16:creationId xmlns:a16="http://schemas.microsoft.com/office/drawing/2014/main" id="{D15489FB-B4F9-47F5-88A4-DD9617BC0EC8}"/>
            </a:ext>
          </a:extLst>
        </xdr:cNvPr>
        <xdr:cNvSpPr/>
      </xdr:nvSpPr>
      <xdr:spPr>
        <a:xfrm rot="10800000">
          <a:off x="833628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790</xdr:row>
      <xdr:rowOff>0</xdr:rowOff>
    </xdr:from>
    <xdr:to>
      <xdr:col>11</xdr:col>
      <xdr:colOff>83820</xdr:colOff>
      <xdr:row>790</xdr:row>
      <xdr:rowOff>114300</xdr:rowOff>
    </xdr:to>
    <xdr:sp macro="" textlink="">
      <xdr:nvSpPr>
        <xdr:cNvPr id="5914" name="Arrow: Down 5913">
          <a:extLst>
            <a:ext uri="{FF2B5EF4-FFF2-40B4-BE49-F238E27FC236}">
              <a16:creationId xmlns:a16="http://schemas.microsoft.com/office/drawing/2014/main" id="{ECFEB6CA-A640-4433-B115-A155DE39039B}"/>
            </a:ext>
          </a:extLst>
        </xdr:cNvPr>
        <xdr:cNvSpPr/>
      </xdr:nvSpPr>
      <xdr:spPr>
        <a:xfrm>
          <a:off x="369570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790</xdr:row>
      <xdr:rowOff>0</xdr:rowOff>
    </xdr:from>
    <xdr:to>
      <xdr:col>5</xdr:col>
      <xdr:colOff>83820</xdr:colOff>
      <xdr:row>790</xdr:row>
      <xdr:rowOff>114300</xdr:rowOff>
    </xdr:to>
    <xdr:sp macro="" textlink="">
      <xdr:nvSpPr>
        <xdr:cNvPr id="5915" name="Arrow: Down 5914">
          <a:extLst>
            <a:ext uri="{FF2B5EF4-FFF2-40B4-BE49-F238E27FC236}">
              <a16:creationId xmlns:a16="http://schemas.microsoft.com/office/drawing/2014/main" id="{D8BD2AE5-F72D-4CB1-9DE2-C4E4FB98B1DD}"/>
            </a:ext>
          </a:extLst>
        </xdr:cNvPr>
        <xdr:cNvSpPr/>
      </xdr:nvSpPr>
      <xdr:spPr>
        <a:xfrm>
          <a:off x="192786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790</xdr:row>
      <xdr:rowOff>0</xdr:rowOff>
    </xdr:from>
    <xdr:to>
      <xdr:col>39</xdr:col>
      <xdr:colOff>83820</xdr:colOff>
      <xdr:row>790</xdr:row>
      <xdr:rowOff>114300</xdr:rowOff>
    </xdr:to>
    <xdr:sp macro="" textlink="">
      <xdr:nvSpPr>
        <xdr:cNvPr id="5928" name="Arrow: Down 5927">
          <a:extLst>
            <a:ext uri="{FF2B5EF4-FFF2-40B4-BE49-F238E27FC236}">
              <a16:creationId xmlns:a16="http://schemas.microsoft.com/office/drawing/2014/main" id="{7940B0F3-3DFB-4EB7-B710-342D67728FCD}"/>
            </a:ext>
          </a:extLst>
        </xdr:cNvPr>
        <xdr:cNvSpPr/>
      </xdr:nvSpPr>
      <xdr:spPr>
        <a:xfrm>
          <a:off x="11544300" y="14457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790</xdr:row>
      <xdr:rowOff>0</xdr:rowOff>
    </xdr:from>
    <xdr:to>
      <xdr:col>45</xdr:col>
      <xdr:colOff>83820</xdr:colOff>
      <xdr:row>790</xdr:row>
      <xdr:rowOff>114300</xdr:rowOff>
    </xdr:to>
    <xdr:sp macro="" textlink="">
      <xdr:nvSpPr>
        <xdr:cNvPr id="5929" name="Arrow: Down 5928">
          <a:extLst>
            <a:ext uri="{FF2B5EF4-FFF2-40B4-BE49-F238E27FC236}">
              <a16:creationId xmlns:a16="http://schemas.microsoft.com/office/drawing/2014/main" id="{A94B90C4-DB67-48DD-91F9-B1A5D2AE2D7E}"/>
            </a:ext>
          </a:extLst>
        </xdr:cNvPr>
        <xdr:cNvSpPr/>
      </xdr:nvSpPr>
      <xdr:spPr>
        <a:xfrm>
          <a:off x="13403580" y="14457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790</xdr:row>
      <xdr:rowOff>0</xdr:rowOff>
    </xdr:from>
    <xdr:to>
      <xdr:col>71</xdr:col>
      <xdr:colOff>83820</xdr:colOff>
      <xdr:row>790</xdr:row>
      <xdr:rowOff>114300</xdr:rowOff>
    </xdr:to>
    <xdr:sp macro="" textlink="">
      <xdr:nvSpPr>
        <xdr:cNvPr id="5933" name="Arrow: Down 5932">
          <a:extLst>
            <a:ext uri="{FF2B5EF4-FFF2-40B4-BE49-F238E27FC236}">
              <a16:creationId xmlns:a16="http://schemas.microsoft.com/office/drawing/2014/main" id="{2648BCCE-3369-4539-ABD3-F65F44C72E07}"/>
            </a:ext>
          </a:extLst>
        </xdr:cNvPr>
        <xdr:cNvSpPr/>
      </xdr:nvSpPr>
      <xdr:spPr>
        <a:xfrm>
          <a:off x="2200656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790</xdr:row>
      <xdr:rowOff>0</xdr:rowOff>
    </xdr:from>
    <xdr:to>
      <xdr:col>60</xdr:col>
      <xdr:colOff>83820</xdr:colOff>
      <xdr:row>790</xdr:row>
      <xdr:rowOff>114300</xdr:rowOff>
    </xdr:to>
    <xdr:sp macro="" textlink="">
      <xdr:nvSpPr>
        <xdr:cNvPr id="5946" name="Arrow: Down 5945">
          <a:extLst>
            <a:ext uri="{FF2B5EF4-FFF2-40B4-BE49-F238E27FC236}">
              <a16:creationId xmlns:a16="http://schemas.microsoft.com/office/drawing/2014/main" id="{908219A3-1C32-40D8-AFCC-6EAD4B0AC42B}"/>
            </a:ext>
          </a:extLst>
        </xdr:cNvPr>
        <xdr:cNvSpPr/>
      </xdr:nvSpPr>
      <xdr:spPr>
        <a:xfrm>
          <a:off x="1912620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791</xdr:row>
      <xdr:rowOff>0</xdr:rowOff>
    </xdr:from>
    <xdr:to>
      <xdr:col>64</xdr:col>
      <xdr:colOff>83820</xdr:colOff>
      <xdr:row>791</xdr:row>
      <xdr:rowOff>114300</xdr:rowOff>
    </xdr:to>
    <xdr:sp macro="" textlink="">
      <xdr:nvSpPr>
        <xdr:cNvPr id="5951" name="Arrow: Down 5950">
          <a:extLst>
            <a:ext uri="{FF2B5EF4-FFF2-40B4-BE49-F238E27FC236}">
              <a16:creationId xmlns:a16="http://schemas.microsoft.com/office/drawing/2014/main" id="{F85D9E65-F93D-4579-8997-98F1EEAFBCC0}"/>
            </a:ext>
          </a:extLst>
        </xdr:cNvPr>
        <xdr:cNvSpPr/>
      </xdr:nvSpPr>
      <xdr:spPr>
        <a:xfrm rot="10800000">
          <a:off x="19392900" y="144574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791</xdr:row>
      <xdr:rowOff>0</xdr:rowOff>
    </xdr:from>
    <xdr:to>
      <xdr:col>45</xdr:col>
      <xdr:colOff>83820</xdr:colOff>
      <xdr:row>791</xdr:row>
      <xdr:rowOff>114300</xdr:rowOff>
    </xdr:to>
    <xdr:sp macro="" textlink="">
      <xdr:nvSpPr>
        <xdr:cNvPr id="5984" name="Arrow: Down 5983">
          <a:extLst>
            <a:ext uri="{FF2B5EF4-FFF2-40B4-BE49-F238E27FC236}">
              <a16:creationId xmlns:a16="http://schemas.microsoft.com/office/drawing/2014/main" id="{C695A4A1-7F6D-44C8-ADAB-60052B234E0C}"/>
            </a:ext>
          </a:extLst>
        </xdr:cNvPr>
        <xdr:cNvSpPr/>
      </xdr:nvSpPr>
      <xdr:spPr>
        <a:xfrm>
          <a:off x="13403580" y="14457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791</xdr:row>
      <xdr:rowOff>0</xdr:rowOff>
    </xdr:from>
    <xdr:to>
      <xdr:col>24</xdr:col>
      <xdr:colOff>83820</xdr:colOff>
      <xdr:row>791</xdr:row>
      <xdr:rowOff>114300</xdr:rowOff>
    </xdr:to>
    <xdr:sp macro="" textlink="">
      <xdr:nvSpPr>
        <xdr:cNvPr id="5997" name="Arrow: Down 5996">
          <a:extLst>
            <a:ext uri="{FF2B5EF4-FFF2-40B4-BE49-F238E27FC236}">
              <a16:creationId xmlns:a16="http://schemas.microsoft.com/office/drawing/2014/main" id="{67C5878E-9BFF-4B57-BCC0-B4D2311F5570}"/>
            </a:ext>
          </a:extLst>
        </xdr:cNvPr>
        <xdr:cNvSpPr/>
      </xdr:nvSpPr>
      <xdr:spPr>
        <a:xfrm>
          <a:off x="833628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791</xdr:row>
      <xdr:rowOff>0</xdr:rowOff>
    </xdr:from>
    <xdr:to>
      <xdr:col>39</xdr:col>
      <xdr:colOff>83820</xdr:colOff>
      <xdr:row>791</xdr:row>
      <xdr:rowOff>114300</xdr:rowOff>
    </xdr:to>
    <xdr:sp macro="" textlink="">
      <xdr:nvSpPr>
        <xdr:cNvPr id="6001" name="Arrow: Down 6000">
          <a:extLst>
            <a:ext uri="{FF2B5EF4-FFF2-40B4-BE49-F238E27FC236}">
              <a16:creationId xmlns:a16="http://schemas.microsoft.com/office/drawing/2014/main" id="{35C3A2FF-FBF0-47B0-B237-DFC5E5D0DE02}"/>
            </a:ext>
          </a:extLst>
        </xdr:cNvPr>
        <xdr:cNvSpPr/>
      </xdr:nvSpPr>
      <xdr:spPr>
        <a:xfrm rot="10800000">
          <a:off x="11544300" y="144757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792</xdr:row>
      <xdr:rowOff>0</xdr:rowOff>
    </xdr:from>
    <xdr:to>
      <xdr:col>64</xdr:col>
      <xdr:colOff>83820</xdr:colOff>
      <xdr:row>792</xdr:row>
      <xdr:rowOff>114300</xdr:rowOff>
    </xdr:to>
    <xdr:sp macro="" textlink="">
      <xdr:nvSpPr>
        <xdr:cNvPr id="6006" name="Arrow: Down 6005">
          <a:extLst>
            <a:ext uri="{FF2B5EF4-FFF2-40B4-BE49-F238E27FC236}">
              <a16:creationId xmlns:a16="http://schemas.microsoft.com/office/drawing/2014/main" id="{EEC91B27-3F19-422C-B10A-031C9233404E}"/>
            </a:ext>
          </a:extLst>
        </xdr:cNvPr>
        <xdr:cNvSpPr/>
      </xdr:nvSpPr>
      <xdr:spPr>
        <a:xfrm rot="10800000">
          <a:off x="19392900" y="144757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792</xdr:row>
      <xdr:rowOff>0</xdr:rowOff>
    </xdr:from>
    <xdr:to>
      <xdr:col>11</xdr:col>
      <xdr:colOff>83820</xdr:colOff>
      <xdr:row>792</xdr:row>
      <xdr:rowOff>114300</xdr:rowOff>
    </xdr:to>
    <xdr:sp macro="" textlink="">
      <xdr:nvSpPr>
        <xdr:cNvPr id="6016" name="Arrow: Down 6015">
          <a:extLst>
            <a:ext uri="{FF2B5EF4-FFF2-40B4-BE49-F238E27FC236}">
              <a16:creationId xmlns:a16="http://schemas.microsoft.com/office/drawing/2014/main" id="{DD8B320E-0C72-4959-A20C-C3F98D1F5A80}"/>
            </a:ext>
          </a:extLst>
        </xdr:cNvPr>
        <xdr:cNvSpPr/>
      </xdr:nvSpPr>
      <xdr:spPr>
        <a:xfrm>
          <a:off x="369570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792</xdr:row>
      <xdr:rowOff>0</xdr:rowOff>
    </xdr:from>
    <xdr:to>
      <xdr:col>5</xdr:col>
      <xdr:colOff>83820</xdr:colOff>
      <xdr:row>792</xdr:row>
      <xdr:rowOff>114300</xdr:rowOff>
    </xdr:to>
    <xdr:sp macro="" textlink="">
      <xdr:nvSpPr>
        <xdr:cNvPr id="6018" name="Arrow: Down 6017">
          <a:extLst>
            <a:ext uri="{FF2B5EF4-FFF2-40B4-BE49-F238E27FC236}">
              <a16:creationId xmlns:a16="http://schemas.microsoft.com/office/drawing/2014/main" id="{507BD90B-52E0-4555-8F75-F92F620F27CB}"/>
            </a:ext>
          </a:extLst>
        </xdr:cNvPr>
        <xdr:cNvSpPr/>
      </xdr:nvSpPr>
      <xdr:spPr>
        <a:xfrm>
          <a:off x="192786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792</xdr:row>
      <xdr:rowOff>0</xdr:rowOff>
    </xdr:from>
    <xdr:to>
      <xdr:col>45</xdr:col>
      <xdr:colOff>83820</xdr:colOff>
      <xdr:row>792</xdr:row>
      <xdr:rowOff>114300</xdr:rowOff>
    </xdr:to>
    <xdr:sp macro="" textlink="">
      <xdr:nvSpPr>
        <xdr:cNvPr id="6024" name="Arrow: Down 6023">
          <a:extLst>
            <a:ext uri="{FF2B5EF4-FFF2-40B4-BE49-F238E27FC236}">
              <a16:creationId xmlns:a16="http://schemas.microsoft.com/office/drawing/2014/main" id="{E24D56A1-DB13-407A-8D4A-58B8FC955434}"/>
            </a:ext>
          </a:extLst>
        </xdr:cNvPr>
        <xdr:cNvSpPr/>
      </xdr:nvSpPr>
      <xdr:spPr>
        <a:xfrm>
          <a:off x="1340358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792</xdr:row>
      <xdr:rowOff>0</xdr:rowOff>
    </xdr:from>
    <xdr:to>
      <xdr:col>60</xdr:col>
      <xdr:colOff>83820</xdr:colOff>
      <xdr:row>792</xdr:row>
      <xdr:rowOff>114300</xdr:rowOff>
    </xdr:to>
    <xdr:sp macro="" textlink="">
      <xdr:nvSpPr>
        <xdr:cNvPr id="6026" name="Arrow: Down 6025">
          <a:extLst>
            <a:ext uri="{FF2B5EF4-FFF2-40B4-BE49-F238E27FC236}">
              <a16:creationId xmlns:a16="http://schemas.microsoft.com/office/drawing/2014/main" id="{FA39561D-AD4F-47E1-BAA1-3FFA988201D0}"/>
            </a:ext>
          </a:extLst>
        </xdr:cNvPr>
        <xdr:cNvSpPr/>
      </xdr:nvSpPr>
      <xdr:spPr>
        <a:xfrm rot="10800000">
          <a:off x="1912620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792</xdr:row>
      <xdr:rowOff>0</xdr:rowOff>
    </xdr:from>
    <xdr:to>
      <xdr:col>24</xdr:col>
      <xdr:colOff>83820</xdr:colOff>
      <xdr:row>792</xdr:row>
      <xdr:rowOff>114300</xdr:rowOff>
    </xdr:to>
    <xdr:sp macro="" textlink="">
      <xdr:nvSpPr>
        <xdr:cNvPr id="6027" name="Arrow: Down 6026">
          <a:extLst>
            <a:ext uri="{FF2B5EF4-FFF2-40B4-BE49-F238E27FC236}">
              <a16:creationId xmlns:a16="http://schemas.microsoft.com/office/drawing/2014/main" id="{FE108AAE-41D4-4DD6-AE7B-1B3A45E0F5D2}"/>
            </a:ext>
          </a:extLst>
        </xdr:cNvPr>
        <xdr:cNvSpPr/>
      </xdr:nvSpPr>
      <xdr:spPr>
        <a:xfrm>
          <a:off x="833628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792</xdr:row>
      <xdr:rowOff>0</xdr:rowOff>
    </xdr:from>
    <xdr:to>
      <xdr:col>39</xdr:col>
      <xdr:colOff>83820</xdr:colOff>
      <xdr:row>792</xdr:row>
      <xdr:rowOff>114300</xdr:rowOff>
    </xdr:to>
    <xdr:sp macro="" textlink="">
      <xdr:nvSpPr>
        <xdr:cNvPr id="6028" name="Arrow: Down 6027">
          <a:extLst>
            <a:ext uri="{FF2B5EF4-FFF2-40B4-BE49-F238E27FC236}">
              <a16:creationId xmlns:a16="http://schemas.microsoft.com/office/drawing/2014/main" id="{C8CADBF4-52EA-456E-8D63-E55F97F989E1}"/>
            </a:ext>
          </a:extLst>
        </xdr:cNvPr>
        <xdr:cNvSpPr/>
      </xdr:nvSpPr>
      <xdr:spPr>
        <a:xfrm rot="10800000">
          <a:off x="11544300" y="144757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791</xdr:row>
      <xdr:rowOff>0</xdr:rowOff>
    </xdr:from>
    <xdr:to>
      <xdr:col>5</xdr:col>
      <xdr:colOff>83820</xdr:colOff>
      <xdr:row>791</xdr:row>
      <xdr:rowOff>114300</xdr:rowOff>
    </xdr:to>
    <xdr:sp macro="" textlink="">
      <xdr:nvSpPr>
        <xdr:cNvPr id="6030" name="Arrow: Down 6029">
          <a:extLst>
            <a:ext uri="{FF2B5EF4-FFF2-40B4-BE49-F238E27FC236}">
              <a16:creationId xmlns:a16="http://schemas.microsoft.com/office/drawing/2014/main" id="{C3196D9D-CF5B-4A8A-8FE2-E1D8E31082D8}"/>
            </a:ext>
          </a:extLst>
        </xdr:cNvPr>
        <xdr:cNvSpPr/>
      </xdr:nvSpPr>
      <xdr:spPr>
        <a:xfrm rot="10800000">
          <a:off x="192786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791</xdr:row>
      <xdr:rowOff>0</xdr:rowOff>
    </xdr:from>
    <xdr:to>
      <xdr:col>11</xdr:col>
      <xdr:colOff>83820</xdr:colOff>
      <xdr:row>791</xdr:row>
      <xdr:rowOff>114300</xdr:rowOff>
    </xdr:to>
    <xdr:sp macro="" textlink="">
      <xdr:nvSpPr>
        <xdr:cNvPr id="6032" name="Arrow: Down 6031">
          <a:extLst>
            <a:ext uri="{FF2B5EF4-FFF2-40B4-BE49-F238E27FC236}">
              <a16:creationId xmlns:a16="http://schemas.microsoft.com/office/drawing/2014/main" id="{776B330B-E1B8-438C-939F-60C672C43956}"/>
            </a:ext>
          </a:extLst>
        </xdr:cNvPr>
        <xdr:cNvSpPr/>
      </xdr:nvSpPr>
      <xdr:spPr>
        <a:xfrm rot="10800000">
          <a:off x="369570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791</xdr:row>
      <xdr:rowOff>0</xdr:rowOff>
    </xdr:from>
    <xdr:to>
      <xdr:col>60</xdr:col>
      <xdr:colOff>83820</xdr:colOff>
      <xdr:row>791</xdr:row>
      <xdr:rowOff>114300</xdr:rowOff>
    </xdr:to>
    <xdr:sp macro="" textlink="">
      <xdr:nvSpPr>
        <xdr:cNvPr id="6034" name="Arrow: Down 6033">
          <a:extLst>
            <a:ext uri="{FF2B5EF4-FFF2-40B4-BE49-F238E27FC236}">
              <a16:creationId xmlns:a16="http://schemas.microsoft.com/office/drawing/2014/main" id="{E423A401-BB3E-4BBB-B1D4-2574A6CEBD52}"/>
            </a:ext>
          </a:extLst>
        </xdr:cNvPr>
        <xdr:cNvSpPr/>
      </xdr:nvSpPr>
      <xdr:spPr>
        <a:xfrm rot="10800000">
          <a:off x="1912620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791</xdr:row>
      <xdr:rowOff>0</xdr:rowOff>
    </xdr:from>
    <xdr:to>
      <xdr:col>71</xdr:col>
      <xdr:colOff>83820</xdr:colOff>
      <xdr:row>791</xdr:row>
      <xdr:rowOff>114300</xdr:rowOff>
    </xdr:to>
    <xdr:sp macro="" textlink="">
      <xdr:nvSpPr>
        <xdr:cNvPr id="6036" name="Arrow: Down 6035">
          <a:extLst>
            <a:ext uri="{FF2B5EF4-FFF2-40B4-BE49-F238E27FC236}">
              <a16:creationId xmlns:a16="http://schemas.microsoft.com/office/drawing/2014/main" id="{30C5F1FA-4541-45D7-A9DF-C638B742E549}"/>
            </a:ext>
          </a:extLst>
        </xdr:cNvPr>
        <xdr:cNvSpPr/>
      </xdr:nvSpPr>
      <xdr:spPr>
        <a:xfrm rot="10800000">
          <a:off x="2200656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792</xdr:row>
      <xdr:rowOff>0</xdr:rowOff>
    </xdr:from>
    <xdr:to>
      <xdr:col>71</xdr:col>
      <xdr:colOff>83820</xdr:colOff>
      <xdr:row>792</xdr:row>
      <xdr:rowOff>114300</xdr:rowOff>
    </xdr:to>
    <xdr:sp macro="" textlink="">
      <xdr:nvSpPr>
        <xdr:cNvPr id="6038" name="Arrow: Down 6037">
          <a:extLst>
            <a:ext uri="{FF2B5EF4-FFF2-40B4-BE49-F238E27FC236}">
              <a16:creationId xmlns:a16="http://schemas.microsoft.com/office/drawing/2014/main" id="{379A1B97-B21F-4502-9B65-2930F3B7F3D5}"/>
            </a:ext>
          </a:extLst>
        </xdr:cNvPr>
        <xdr:cNvSpPr/>
      </xdr:nvSpPr>
      <xdr:spPr>
        <a:xfrm rot="10800000">
          <a:off x="22006560" y="1449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793</xdr:row>
      <xdr:rowOff>0</xdr:rowOff>
    </xdr:from>
    <xdr:to>
      <xdr:col>64</xdr:col>
      <xdr:colOff>83820</xdr:colOff>
      <xdr:row>793</xdr:row>
      <xdr:rowOff>114300</xdr:rowOff>
    </xdr:to>
    <xdr:sp macro="" textlink="">
      <xdr:nvSpPr>
        <xdr:cNvPr id="6039" name="Arrow: Down 6038">
          <a:extLst>
            <a:ext uri="{FF2B5EF4-FFF2-40B4-BE49-F238E27FC236}">
              <a16:creationId xmlns:a16="http://schemas.microsoft.com/office/drawing/2014/main" id="{C647E5D9-5709-49C9-9E7B-E899AA654333}"/>
            </a:ext>
          </a:extLst>
        </xdr:cNvPr>
        <xdr:cNvSpPr/>
      </xdr:nvSpPr>
      <xdr:spPr>
        <a:xfrm rot="10800000">
          <a:off x="19392900" y="144940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793</xdr:row>
      <xdr:rowOff>0</xdr:rowOff>
    </xdr:from>
    <xdr:to>
      <xdr:col>45</xdr:col>
      <xdr:colOff>83820</xdr:colOff>
      <xdr:row>793</xdr:row>
      <xdr:rowOff>114300</xdr:rowOff>
    </xdr:to>
    <xdr:sp macro="" textlink="">
      <xdr:nvSpPr>
        <xdr:cNvPr id="6042" name="Arrow: Down 6041">
          <a:extLst>
            <a:ext uri="{FF2B5EF4-FFF2-40B4-BE49-F238E27FC236}">
              <a16:creationId xmlns:a16="http://schemas.microsoft.com/office/drawing/2014/main" id="{3AC0DD68-0896-4175-80C9-C54AA6A76FFD}"/>
            </a:ext>
          </a:extLst>
        </xdr:cNvPr>
        <xdr:cNvSpPr/>
      </xdr:nvSpPr>
      <xdr:spPr>
        <a:xfrm>
          <a:off x="13403580" y="1449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793</xdr:row>
      <xdr:rowOff>0</xdr:rowOff>
    </xdr:from>
    <xdr:to>
      <xdr:col>5</xdr:col>
      <xdr:colOff>83820</xdr:colOff>
      <xdr:row>793</xdr:row>
      <xdr:rowOff>114300</xdr:rowOff>
    </xdr:to>
    <xdr:sp macro="" textlink="">
      <xdr:nvSpPr>
        <xdr:cNvPr id="6048" name="Arrow: Down 6047">
          <a:extLst>
            <a:ext uri="{FF2B5EF4-FFF2-40B4-BE49-F238E27FC236}">
              <a16:creationId xmlns:a16="http://schemas.microsoft.com/office/drawing/2014/main" id="{87B24B77-5D0B-4BCD-B48C-03D9C2258819}"/>
            </a:ext>
          </a:extLst>
        </xdr:cNvPr>
        <xdr:cNvSpPr/>
      </xdr:nvSpPr>
      <xdr:spPr>
        <a:xfrm>
          <a:off x="192786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793</xdr:row>
      <xdr:rowOff>0</xdr:rowOff>
    </xdr:from>
    <xdr:to>
      <xdr:col>11</xdr:col>
      <xdr:colOff>83820</xdr:colOff>
      <xdr:row>793</xdr:row>
      <xdr:rowOff>114300</xdr:rowOff>
    </xdr:to>
    <xdr:sp macro="" textlink="">
      <xdr:nvSpPr>
        <xdr:cNvPr id="6049" name="Arrow: Down 6048">
          <a:extLst>
            <a:ext uri="{FF2B5EF4-FFF2-40B4-BE49-F238E27FC236}">
              <a16:creationId xmlns:a16="http://schemas.microsoft.com/office/drawing/2014/main" id="{07EE93C8-3BE2-48B0-8AFB-EAA4DD2F4E90}"/>
            </a:ext>
          </a:extLst>
        </xdr:cNvPr>
        <xdr:cNvSpPr/>
      </xdr:nvSpPr>
      <xdr:spPr>
        <a:xfrm>
          <a:off x="369570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793</xdr:row>
      <xdr:rowOff>0</xdr:rowOff>
    </xdr:from>
    <xdr:to>
      <xdr:col>24</xdr:col>
      <xdr:colOff>83820</xdr:colOff>
      <xdr:row>793</xdr:row>
      <xdr:rowOff>114300</xdr:rowOff>
    </xdr:to>
    <xdr:sp macro="" textlink="">
      <xdr:nvSpPr>
        <xdr:cNvPr id="6052" name="Arrow: Down 6051">
          <a:extLst>
            <a:ext uri="{FF2B5EF4-FFF2-40B4-BE49-F238E27FC236}">
              <a16:creationId xmlns:a16="http://schemas.microsoft.com/office/drawing/2014/main" id="{54A95F4E-BC38-4BB1-815E-723D116B525A}"/>
            </a:ext>
          </a:extLst>
        </xdr:cNvPr>
        <xdr:cNvSpPr/>
      </xdr:nvSpPr>
      <xdr:spPr>
        <a:xfrm>
          <a:off x="833628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793</xdr:row>
      <xdr:rowOff>0</xdr:rowOff>
    </xdr:from>
    <xdr:to>
      <xdr:col>39</xdr:col>
      <xdr:colOff>83820</xdr:colOff>
      <xdr:row>793</xdr:row>
      <xdr:rowOff>114300</xdr:rowOff>
    </xdr:to>
    <xdr:sp macro="" textlink="">
      <xdr:nvSpPr>
        <xdr:cNvPr id="6058" name="Arrow: Down 6057">
          <a:extLst>
            <a:ext uri="{FF2B5EF4-FFF2-40B4-BE49-F238E27FC236}">
              <a16:creationId xmlns:a16="http://schemas.microsoft.com/office/drawing/2014/main" id="{6133175A-1EDA-4807-8D14-75BEEBB607A9}"/>
            </a:ext>
          </a:extLst>
        </xdr:cNvPr>
        <xdr:cNvSpPr/>
      </xdr:nvSpPr>
      <xdr:spPr>
        <a:xfrm>
          <a:off x="1154430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793</xdr:row>
      <xdr:rowOff>0</xdr:rowOff>
    </xdr:from>
    <xdr:to>
      <xdr:col>60</xdr:col>
      <xdr:colOff>83820</xdr:colOff>
      <xdr:row>793</xdr:row>
      <xdr:rowOff>114300</xdr:rowOff>
    </xdr:to>
    <xdr:sp macro="" textlink="">
      <xdr:nvSpPr>
        <xdr:cNvPr id="6062" name="Arrow: Down 6061">
          <a:extLst>
            <a:ext uri="{FF2B5EF4-FFF2-40B4-BE49-F238E27FC236}">
              <a16:creationId xmlns:a16="http://schemas.microsoft.com/office/drawing/2014/main" id="{E5D27644-303F-4439-9767-9245683A5AC6}"/>
            </a:ext>
          </a:extLst>
        </xdr:cNvPr>
        <xdr:cNvSpPr/>
      </xdr:nvSpPr>
      <xdr:spPr>
        <a:xfrm>
          <a:off x="19126200" y="1451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793</xdr:row>
      <xdr:rowOff>0</xdr:rowOff>
    </xdr:from>
    <xdr:to>
      <xdr:col>71</xdr:col>
      <xdr:colOff>83820</xdr:colOff>
      <xdr:row>793</xdr:row>
      <xdr:rowOff>114300</xdr:rowOff>
    </xdr:to>
    <xdr:sp macro="" textlink="">
      <xdr:nvSpPr>
        <xdr:cNvPr id="6064" name="Arrow: Down 6063">
          <a:extLst>
            <a:ext uri="{FF2B5EF4-FFF2-40B4-BE49-F238E27FC236}">
              <a16:creationId xmlns:a16="http://schemas.microsoft.com/office/drawing/2014/main" id="{B08B4166-B6E0-4C06-8030-5FC86A49BFED}"/>
            </a:ext>
          </a:extLst>
        </xdr:cNvPr>
        <xdr:cNvSpPr/>
      </xdr:nvSpPr>
      <xdr:spPr>
        <a:xfrm>
          <a:off x="22006560" y="1451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794</xdr:row>
      <xdr:rowOff>0</xdr:rowOff>
    </xdr:from>
    <xdr:to>
      <xdr:col>64</xdr:col>
      <xdr:colOff>83820</xdr:colOff>
      <xdr:row>794</xdr:row>
      <xdr:rowOff>114300</xdr:rowOff>
    </xdr:to>
    <xdr:sp macro="" textlink="">
      <xdr:nvSpPr>
        <xdr:cNvPr id="6074" name="Arrow: Down 6073">
          <a:extLst>
            <a:ext uri="{FF2B5EF4-FFF2-40B4-BE49-F238E27FC236}">
              <a16:creationId xmlns:a16="http://schemas.microsoft.com/office/drawing/2014/main" id="{BB105238-410E-4D14-AB64-6BAE201C28AD}"/>
            </a:ext>
          </a:extLst>
        </xdr:cNvPr>
        <xdr:cNvSpPr/>
      </xdr:nvSpPr>
      <xdr:spPr>
        <a:xfrm rot="10800000">
          <a:off x="19392900" y="145122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794</xdr:row>
      <xdr:rowOff>0</xdr:rowOff>
    </xdr:from>
    <xdr:to>
      <xdr:col>45</xdr:col>
      <xdr:colOff>83820</xdr:colOff>
      <xdr:row>794</xdr:row>
      <xdr:rowOff>114300</xdr:rowOff>
    </xdr:to>
    <xdr:sp macro="" textlink="">
      <xdr:nvSpPr>
        <xdr:cNvPr id="6078" name="Arrow: Down 6077">
          <a:extLst>
            <a:ext uri="{FF2B5EF4-FFF2-40B4-BE49-F238E27FC236}">
              <a16:creationId xmlns:a16="http://schemas.microsoft.com/office/drawing/2014/main" id="{E6D1B48A-BF8B-47A8-9AF9-48EC3115A97F}"/>
            </a:ext>
          </a:extLst>
        </xdr:cNvPr>
        <xdr:cNvSpPr/>
      </xdr:nvSpPr>
      <xdr:spPr>
        <a:xfrm>
          <a:off x="1340358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794</xdr:row>
      <xdr:rowOff>0</xdr:rowOff>
    </xdr:from>
    <xdr:to>
      <xdr:col>39</xdr:col>
      <xdr:colOff>83820</xdr:colOff>
      <xdr:row>794</xdr:row>
      <xdr:rowOff>114300</xdr:rowOff>
    </xdr:to>
    <xdr:sp macro="" textlink="">
      <xdr:nvSpPr>
        <xdr:cNvPr id="6082" name="Arrow: Down 6081">
          <a:extLst>
            <a:ext uri="{FF2B5EF4-FFF2-40B4-BE49-F238E27FC236}">
              <a16:creationId xmlns:a16="http://schemas.microsoft.com/office/drawing/2014/main" id="{0F1AB87F-C7C2-4D96-832D-9E254B7AD389}"/>
            </a:ext>
          </a:extLst>
        </xdr:cNvPr>
        <xdr:cNvSpPr/>
      </xdr:nvSpPr>
      <xdr:spPr>
        <a:xfrm>
          <a:off x="1154430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794</xdr:row>
      <xdr:rowOff>0</xdr:rowOff>
    </xdr:from>
    <xdr:to>
      <xdr:col>60</xdr:col>
      <xdr:colOff>83820</xdr:colOff>
      <xdr:row>794</xdr:row>
      <xdr:rowOff>114300</xdr:rowOff>
    </xdr:to>
    <xdr:sp macro="" textlink="">
      <xdr:nvSpPr>
        <xdr:cNvPr id="6085" name="Arrow: Down 6084">
          <a:extLst>
            <a:ext uri="{FF2B5EF4-FFF2-40B4-BE49-F238E27FC236}">
              <a16:creationId xmlns:a16="http://schemas.microsoft.com/office/drawing/2014/main" id="{EDD0C3ED-ABFF-432B-A058-D760B46CA04F}"/>
            </a:ext>
          </a:extLst>
        </xdr:cNvPr>
        <xdr:cNvSpPr/>
      </xdr:nvSpPr>
      <xdr:spPr>
        <a:xfrm rot="10800000">
          <a:off x="1912620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794</xdr:row>
      <xdr:rowOff>0</xdr:rowOff>
    </xdr:from>
    <xdr:to>
      <xdr:col>71</xdr:col>
      <xdr:colOff>83820</xdr:colOff>
      <xdr:row>794</xdr:row>
      <xdr:rowOff>114300</xdr:rowOff>
    </xdr:to>
    <xdr:sp macro="" textlink="">
      <xdr:nvSpPr>
        <xdr:cNvPr id="6094" name="Arrow: Down 6093">
          <a:extLst>
            <a:ext uri="{FF2B5EF4-FFF2-40B4-BE49-F238E27FC236}">
              <a16:creationId xmlns:a16="http://schemas.microsoft.com/office/drawing/2014/main" id="{7B30D1F8-DEBF-4749-8734-68D58B3E9715}"/>
            </a:ext>
          </a:extLst>
        </xdr:cNvPr>
        <xdr:cNvSpPr/>
      </xdr:nvSpPr>
      <xdr:spPr>
        <a:xfrm rot="10800000">
          <a:off x="2200656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795</xdr:row>
      <xdr:rowOff>0</xdr:rowOff>
    </xdr:from>
    <xdr:to>
      <xdr:col>64</xdr:col>
      <xdr:colOff>83820</xdr:colOff>
      <xdr:row>795</xdr:row>
      <xdr:rowOff>114300</xdr:rowOff>
    </xdr:to>
    <xdr:sp macro="" textlink="">
      <xdr:nvSpPr>
        <xdr:cNvPr id="6135" name="Arrow: Down 6134">
          <a:extLst>
            <a:ext uri="{FF2B5EF4-FFF2-40B4-BE49-F238E27FC236}">
              <a16:creationId xmlns:a16="http://schemas.microsoft.com/office/drawing/2014/main" id="{92230CD0-AD2B-438C-9857-8BBCCA112DA9}"/>
            </a:ext>
          </a:extLst>
        </xdr:cNvPr>
        <xdr:cNvSpPr/>
      </xdr:nvSpPr>
      <xdr:spPr>
        <a:xfrm rot="10800000">
          <a:off x="19392900" y="145305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795</xdr:row>
      <xdr:rowOff>0</xdr:rowOff>
    </xdr:from>
    <xdr:to>
      <xdr:col>39</xdr:col>
      <xdr:colOff>83820</xdr:colOff>
      <xdr:row>795</xdr:row>
      <xdr:rowOff>114300</xdr:rowOff>
    </xdr:to>
    <xdr:sp macro="" textlink="">
      <xdr:nvSpPr>
        <xdr:cNvPr id="6140" name="Arrow: Down 6139">
          <a:extLst>
            <a:ext uri="{FF2B5EF4-FFF2-40B4-BE49-F238E27FC236}">
              <a16:creationId xmlns:a16="http://schemas.microsoft.com/office/drawing/2014/main" id="{947FBA8B-7C49-47CB-BB95-CEE0CB117EF8}"/>
            </a:ext>
          </a:extLst>
        </xdr:cNvPr>
        <xdr:cNvSpPr/>
      </xdr:nvSpPr>
      <xdr:spPr>
        <a:xfrm>
          <a:off x="1154430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795</xdr:row>
      <xdr:rowOff>0</xdr:rowOff>
    </xdr:from>
    <xdr:to>
      <xdr:col>60</xdr:col>
      <xdr:colOff>83820</xdr:colOff>
      <xdr:row>795</xdr:row>
      <xdr:rowOff>114300</xdr:rowOff>
    </xdr:to>
    <xdr:sp macro="" textlink="">
      <xdr:nvSpPr>
        <xdr:cNvPr id="6141" name="Arrow: Down 6140">
          <a:extLst>
            <a:ext uri="{FF2B5EF4-FFF2-40B4-BE49-F238E27FC236}">
              <a16:creationId xmlns:a16="http://schemas.microsoft.com/office/drawing/2014/main" id="{E0D61193-37E7-48EB-BB57-B2F75C5E08B5}"/>
            </a:ext>
          </a:extLst>
        </xdr:cNvPr>
        <xdr:cNvSpPr/>
      </xdr:nvSpPr>
      <xdr:spPr>
        <a:xfrm rot="10800000">
          <a:off x="1912620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795</xdr:row>
      <xdr:rowOff>0</xdr:rowOff>
    </xdr:from>
    <xdr:to>
      <xdr:col>71</xdr:col>
      <xdr:colOff>83820</xdr:colOff>
      <xdr:row>795</xdr:row>
      <xdr:rowOff>114300</xdr:rowOff>
    </xdr:to>
    <xdr:sp macro="" textlink="">
      <xdr:nvSpPr>
        <xdr:cNvPr id="6142" name="Arrow: Down 6141">
          <a:extLst>
            <a:ext uri="{FF2B5EF4-FFF2-40B4-BE49-F238E27FC236}">
              <a16:creationId xmlns:a16="http://schemas.microsoft.com/office/drawing/2014/main" id="{D7A3C640-CF79-4509-8297-D8933F4E4022}"/>
            </a:ext>
          </a:extLst>
        </xdr:cNvPr>
        <xdr:cNvSpPr/>
      </xdr:nvSpPr>
      <xdr:spPr>
        <a:xfrm rot="10800000">
          <a:off x="2200656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794</xdr:row>
      <xdr:rowOff>0</xdr:rowOff>
    </xdr:from>
    <xdr:to>
      <xdr:col>5</xdr:col>
      <xdr:colOff>83820</xdr:colOff>
      <xdr:row>794</xdr:row>
      <xdr:rowOff>114300</xdr:rowOff>
    </xdr:to>
    <xdr:sp macro="" textlink="">
      <xdr:nvSpPr>
        <xdr:cNvPr id="6143" name="Arrow: Down 6142">
          <a:extLst>
            <a:ext uri="{FF2B5EF4-FFF2-40B4-BE49-F238E27FC236}">
              <a16:creationId xmlns:a16="http://schemas.microsoft.com/office/drawing/2014/main" id="{02F00EF7-4969-47A3-AE40-E1465042E58E}"/>
            </a:ext>
          </a:extLst>
        </xdr:cNvPr>
        <xdr:cNvSpPr/>
      </xdr:nvSpPr>
      <xdr:spPr>
        <a:xfrm>
          <a:off x="1927860" y="1453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795</xdr:row>
      <xdr:rowOff>0</xdr:rowOff>
    </xdr:from>
    <xdr:to>
      <xdr:col>11</xdr:col>
      <xdr:colOff>83820</xdr:colOff>
      <xdr:row>795</xdr:row>
      <xdr:rowOff>114300</xdr:rowOff>
    </xdr:to>
    <xdr:sp macro="" textlink="">
      <xdr:nvSpPr>
        <xdr:cNvPr id="6144" name="Arrow: Down 6143">
          <a:extLst>
            <a:ext uri="{FF2B5EF4-FFF2-40B4-BE49-F238E27FC236}">
              <a16:creationId xmlns:a16="http://schemas.microsoft.com/office/drawing/2014/main" id="{755D0B3F-D431-4BA9-8256-D7CB2BD6CB53}"/>
            </a:ext>
          </a:extLst>
        </xdr:cNvPr>
        <xdr:cNvSpPr/>
      </xdr:nvSpPr>
      <xdr:spPr>
        <a:xfrm>
          <a:off x="3695700" y="1454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795</xdr:row>
      <xdr:rowOff>0</xdr:rowOff>
    </xdr:from>
    <xdr:to>
      <xdr:col>5</xdr:col>
      <xdr:colOff>83820</xdr:colOff>
      <xdr:row>795</xdr:row>
      <xdr:rowOff>114300</xdr:rowOff>
    </xdr:to>
    <xdr:sp macro="" textlink="">
      <xdr:nvSpPr>
        <xdr:cNvPr id="6145" name="Arrow: Down 6144">
          <a:extLst>
            <a:ext uri="{FF2B5EF4-FFF2-40B4-BE49-F238E27FC236}">
              <a16:creationId xmlns:a16="http://schemas.microsoft.com/office/drawing/2014/main" id="{AA191AFC-3B76-4641-999D-738E759C60F0}"/>
            </a:ext>
          </a:extLst>
        </xdr:cNvPr>
        <xdr:cNvSpPr/>
      </xdr:nvSpPr>
      <xdr:spPr>
        <a:xfrm>
          <a:off x="1927860" y="1454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794</xdr:row>
      <xdr:rowOff>0</xdr:rowOff>
    </xdr:from>
    <xdr:to>
      <xdr:col>11</xdr:col>
      <xdr:colOff>83820</xdr:colOff>
      <xdr:row>794</xdr:row>
      <xdr:rowOff>114300</xdr:rowOff>
    </xdr:to>
    <xdr:sp macro="" textlink="">
      <xdr:nvSpPr>
        <xdr:cNvPr id="6146" name="Arrow: Down 6145">
          <a:extLst>
            <a:ext uri="{FF2B5EF4-FFF2-40B4-BE49-F238E27FC236}">
              <a16:creationId xmlns:a16="http://schemas.microsoft.com/office/drawing/2014/main" id="{097E5D3C-EE3C-4841-86BA-84E3CCF736A3}"/>
            </a:ext>
          </a:extLst>
        </xdr:cNvPr>
        <xdr:cNvSpPr/>
      </xdr:nvSpPr>
      <xdr:spPr>
        <a:xfrm>
          <a:off x="3695700" y="1453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794</xdr:row>
      <xdr:rowOff>0</xdr:rowOff>
    </xdr:from>
    <xdr:to>
      <xdr:col>24</xdr:col>
      <xdr:colOff>83820</xdr:colOff>
      <xdr:row>794</xdr:row>
      <xdr:rowOff>114300</xdr:rowOff>
    </xdr:to>
    <xdr:sp macro="" textlink="">
      <xdr:nvSpPr>
        <xdr:cNvPr id="6148" name="Arrow: Down 6147">
          <a:extLst>
            <a:ext uri="{FF2B5EF4-FFF2-40B4-BE49-F238E27FC236}">
              <a16:creationId xmlns:a16="http://schemas.microsoft.com/office/drawing/2014/main" id="{F2CE755D-F591-481B-BDD1-44EE686CF431}"/>
            </a:ext>
          </a:extLst>
        </xdr:cNvPr>
        <xdr:cNvSpPr/>
      </xdr:nvSpPr>
      <xdr:spPr>
        <a:xfrm>
          <a:off x="8336280" y="1453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795</xdr:row>
      <xdr:rowOff>0</xdr:rowOff>
    </xdr:from>
    <xdr:to>
      <xdr:col>24</xdr:col>
      <xdr:colOff>83820</xdr:colOff>
      <xdr:row>795</xdr:row>
      <xdr:rowOff>114300</xdr:rowOff>
    </xdr:to>
    <xdr:sp macro="" textlink="">
      <xdr:nvSpPr>
        <xdr:cNvPr id="6150" name="Arrow: Down 6149">
          <a:extLst>
            <a:ext uri="{FF2B5EF4-FFF2-40B4-BE49-F238E27FC236}">
              <a16:creationId xmlns:a16="http://schemas.microsoft.com/office/drawing/2014/main" id="{A993FEBD-7E9B-4E6A-9280-04979C8BA5E4}"/>
            </a:ext>
          </a:extLst>
        </xdr:cNvPr>
        <xdr:cNvSpPr/>
      </xdr:nvSpPr>
      <xdr:spPr>
        <a:xfrm>
          <a:off x="8336280" y="1454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795</xdr:row>
      <xdr:rowOff>0</xdr:rowOff>
    </xdr:from>
    <xdr:to>
      <xdr:col>45</xdr:col>
      <xdr:colOff>83820</xdr:colOff>
      <xdr:row>795</xdr:row>
      <xdr:rowOff>114300</xdr:rowOff>
    </xdr:to>
    <xdr:sp macro="" textlink="">
      <xdr:nvSpPr>
        <xdr:cNvPr id="6152" name="Arrow: Down 6151">
          <a:extLst>
            <a:ext uri="{FF2B5EF4-FFF2-40B4-BE49-F238E27FC236}">
              <a16:creationId xmlns:a16="http://schemas.microsoft.com/office/drawing/2014/main" id="{15ACAF07-60EA-4DF4-B1E0-C0F4C3A7F65B}"/>
            </a:ext>
          </a:extLst>
        </xdr:cNvPr>
        <xdr:cNvSpPr/>
      </xdr:nvSpPr>
      <xdr:spPr>
        <a:xfrm rot="10800000">
          <a:off x="13403580" y="145488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796</xdr:row>
      <xdr:rowOff>0</xdr:rowOff>
    </xdr:from>
    <xdr:to>
      <xdr:col>64</xdr:col>
      <xdr:colOff>83820</xdr:colOff>
      <xdr:row>796</xdr:row>
      <xdr:rowOff>114300</xdr:rowOff>
    </xdr:to>
    <xdr:sp macro="" textlink="">
      <xdr:nvSpPr>
        <xdr:cNvPr id="5796" name="Arrow: Down 5795">
          <a:extLst>
            <a:ext uri="{FF2B5EF4-FFF2-40B4-BE49-F238E27FC236}">
              <a16:creationId xmlns:a16="http://schemas.microsoft.com/office/drawing/2014/main" id="{EE1A7329-980C-43CE-A7BB-0F61E287161C}"/>
            </a:ext>
          </a:extLst>
        </xdr:cNvPr>
        <xdr:cNvSpPr/>
      </xdr:nvSpPr>
      <xdr:spPr>
        <a:xfrm rot="10800000">
          <a:off x="19392900" y="145488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796</xdr:row>
      <xdr:rowOff>0</xdr:rowOff>
    </xdr:from>
    <xdr:to>
      <xdr:col>71</xdr:col>
      <xdr:colOff>83820</xdr:colOff>
      <xdr:row>796</xdr:row>
      <xdr:rowOff>114300</xdr:rowOff>
    </xdr:to>
    <xdr:sp macro="" textlink="">
      <xdr:nvSpPr>
        <xdr:cNvPr id="5809" name="Arrow: Down 5808">
          <a:extLst>
            <a:ext uri="{FF2B5EF4-FFF2-40B4-BE49-F238E27FC236}">
              <a16:creationId xmlns:a16="http://schemas.microsoft.com/office/drawing/2014/main" id="{2DA128D6-1C44-42A5-87C3-EA30094C9FBD}"/>
            </a:ext>
          </a:extLst>
        </xdr:cNvPr>
        <xdr:cNvSpPr/>
      </xdr:nvSpPr>
      <xdr:spPr>
        <a:xfrm rot="10800000">
          <a:off x="22006560" y="1454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796</xdr:row>
      <xdr:rowOff>0</xdr:rowOff>
    </xdr:from>
    <xdr:to>
      <xdr:col>60</xdr:col>
      <xdr:colOff>83820</xdr:colOff>
      <xdr:row>796</xdr:row>
      <xdr:rowOff>114300</xdr:rowOff>
    </xdr:to>
    <xdr:sp macro="" textlink="">
      <xdr:nvSpPr>
        <xdr:cNvPr id="5859" name="Arrow: Down 5858">
          <a:extLst>
            <a:ext uri="{FF2B5EF4-FFF2-40B4-BE49-F238E27FC236}">
              <a16:creationId xmlns:a16="http://schemas.microsoft.com/office/drawing/2014/main" id="{DFBF6600-3DC5-4C45-97B5-C2C3909DE9D1}"/>
            </a:ext>
          </a:extLst>
        </xdr:cNvPr>
        <xdr:cNvSpPr/>
      </xdr:nvSpPr>
      <xdr:spPr>
        <a:xfrm>
          <a:off x="19126200" y="1456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796</xdr:row>
      <xdr:rowOff>0</xdr:rowOff>
    </xdr:from>
    <xdr:to>
      <xdr:col>45</xdr:col>
      <xdr:colOff>83820</xdr:colOff>
      <xdr:row>796</xdr:row>
      <xdr:rowOff>114300</xdr:rowOff>
    </xdr:to>
    <xdr:sp macro="" textlink="">
      <xdr:nvSpPr>
        <xdr:cNvPr id="5861" name="Arrow: Down 5860">
          <a:extLst>
            <a:ext uri="{FF2B5EF4-FFF2-40B4-BE49-F238E27FC236}">
              <a16:creationId xmlns:a16="http://schemas.microsoft.com/office/drawing/2014/main" id="{42769BAE-255F-4BDE-977C-FD10AD2A9CC7}"/>
            </a:ext>
          </a:extLst>
        </xdr:cNvPr>
        <xdr:cNvSpPr/>
      </xdr:nvSpPr>
      <xdr:spPr>
        <a:xfrm>
          <a:off x="134035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796</xdr:row>
      <xdr:rowOff>0</xdr:rowOff>
    </xdr:from>
    <xdr:to>
      <xdr:col>39</xdr:col>
      <xdr:colOff>83820</xdr:colOff>
      <xdr:row>796</xdr:row>
      <xdr:rowOff>114300</xdr:rowOff>
    </xdr:to>
    <xdr:sp macro="" textlink="">
      <xdr:nvSpPr>
        <xdr:cNvPr id="5862" name="Arrow: Down 5861">
          <a:extLst>
            <a:ext uri="{FF2B5EF4-FFF2-40B4-BE49-F238E27FC236}">
              <a16:creationId xmlns:a16="http://schemas.microsoft.com/office/drawing/2014/main" id="{BC9C4781-A46E-4C6F-B5B0-E66DB2A9A604}"/>
            </a:ext>
          </a:extLst>
        </xdr:cNvPr>
        <xdr:cNvSpPr/>
      </xdr:nvSpPr>
      <xdr:spPr>
        <a:xfrm rot="10800000">
          <a:off x="11544300" y="145671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796</xdr:row>
      <xdr:rowOff>0</xdr:rowOff>
    </xdr:from>
    <xdr:to>
      <xdr:col>24</xdr:col>
      <xdr:colOff>83820</xdr:colOff>
      <xdr:row>796</xdr:row>
      <xdr:rowOff>114300</xdr:rowOff>
    </xdr:to>
    <xdr:sp macro="" textlink="">
      <xdr:nvSpPr>
        <xdr:cNvPr id="5863" name="Arrow: Down 5862">
          <a:extLst>
            <a:ext uri="{FF2B5EF4-FFF2-40B4-BE49-F238E27FC236}">
              <a16:creationId xmlns:a16="http://schemas.microsoft.com/office/drawing/2014/main" id="{A8E351D6-1C05-48B2-8CC7-8E4210693B9D}"/>
            </a:ext>
          </a:extLst>
        </xdr:cNvPr>
        <xdr:cNvSpPr/>
      </xdr:nvSpPr>
      <xdr:spPr>
        <a:xfrm>
          <a:off x="83362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796</xdr:row>
      <xdr:rowOff>0</xdr:rowOff>
    </xdr:from>
    <xdr:to>
      <xdr:col>5</xdr:col>
      <xdr:colOff>83820</xdr:colOff>
      <xdr:row>796</xdr:row>
      <xdr:rowOff>114300</xdr:rowOff>
    </xdr:to>
    <xdr:sp macro="" textlink="">
      <xdr:nvSpPr>
        <xdr:cNvPr id="5864" name="Arrow: Down 5863">
          <a:extLst>
            <a:ext uri="{FF2B5EF4-FFF2-40B4-BE49-F238E27FC236}">
              <a16:creationId xmlns:a16="http://schemas.microsoft.com/office/drawing/2014/main" id="{C9AFFC3F-027A-47F8-B819-286442CA0108}"/>
            </a:ext>
          </a:extLst>
        </xdr:cNvPr>
        <xdr:cNvSpPr/>
      </xdr:nvSpPr>
      <xdr:spPr>
        <a:xfrm rot="10800000">
          <a:off x="192786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796</xdr:row>
      <xdr:rowOff>0</xdr:rowOff>
    </xdr:from>
    <xdr:to>
      <xdr:col>11</xdr:col>
      <xdr:colOff>83820</xdr:colOff>
      <xdr:row>796</xdr:row>
      <xdr:rowOff>114300</xdr:rowOff>
    </xdr:to>
    <xdr:sp macro="" textlink="">
      <xdr:nvSpPr>
        <xdr:cNvPr id="5870" name="Arrow: Down 5869">
          <a:extLst>
            <a:ext uri="{FF2B5EF4-FFF2-40B4-BE49-F238E27FC236}">
              <a16:creationId xmlns:a16="http://schemas.microsoft.com/office/drawing/2014/main" id="{FCDC58BE-F6C5-4E47-AF1A-431A1EF01F31}"/>
            </a:ext>
          </a:extLst>
        </xdr:cNvPr>
        <xdr:cNvSpPr/>
      </xdr:nvSpPr>
      <xdr:spPr>
        <a:xfrm rot="10800000">
          <a:off x="369570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797</xdr:row>
      <xdr:rowOff>0</xdr:rowOff>
    </xdr:from>
    <xdr:to>
      <xdr:col>64</xdr:col>
      <xdr:colOff>83820</xdr:colOff>
      <xdr:row>797</xdr:row>
      <xdr:rowOff>114300</xdr:rowOff>
    </xdr:to>
    <xdr:sp macro="" textlink="">
      <xdr:nvSpPr>
        <xdr:cNvPr id="5880" name="Arrow: Down 5879">
          <a:extLst>
            <a:ext uri="{FF2B5EF4-FFF2-40B4-BE49-F238E27FC236}">
              <a16:creationId xmlns:a16="http://schemas.microsoft.com/office/drawing/2014/main" id="{190BB40E-03D6-42DB-89E1-56A63F5B7CD3}"/>
            </a:ext>
          </a:extLst>
        </xdr:cNvPr>
        <xdr:cNvSpPr/>
      </xdr:nvSpPr>
      <xdr:spPr>
        <a:xfrm rot="10800000">
          <a:off x="19392900" y="145671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797</xdr:row>
      <xdr:rowOff>0</xdr:rowOff>
    </xdr:from>
    <xdr:to>
      <xdr:col>60</xdr:col>
      <xdr:colOff>83820</xdr:colOff>
      <xdr:row>797</xdr:row>
      <xdr:rowOff>114300</xdr:rowOff>
    </xdr:to>
    <xdr:sp macro="" textlink="">
      <xdr:nvSpPr>
        <xdr:cNvPr id="5885" name="Arrow: Down 5884">
          <a:extLst>
            <a:ext uri="{FF2B5EF4-FFF2-40B4-BE49-F238E27FC236}">
              <a16:creationId xmlns:a16="http://schemas.microsoft.com/office/drawing/2014/main" id="{57D6946F-D5F4-4B75-A5B4-DC06C89380BB}"/>
            </a:ext>
          </a:extLst>
        </xdr:cNvPr>
        <xdr:cNvSpPr/>
      </xdr:nvSpPr>
      <xdr:spPr>
        <a:xfrm>
          <a:off x="19126200" y="1456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797</xdr:row>
      <xdr:rowOff>0</xdr:rowOff>
    </xdr:from>
    <xdr:to>
      <xdr:col>45</xdr:col>
      <xdr:colOff>83820</xdr:colOff>
      <xdr:row>797</xdr:row>
      <xdr:rowOff>114300</xdr:rowOff>
    </xdr:to>
    <xdr:sp macro="" textlink="">
      <xdr:nvSpPr>
        <xdr:cNvPr id="5890" name="Arrow: Down 5889">
          <a:extLst>
            <a:ext uri="{FF2B5EF4-FFF2-40B4-BE49-F238E27FC236}">
              <a16:creationId xmlns:a16="http://schemas.microsoft.com/office/drawing/2014/main" id="{C254CDBE-B315-4B15-9134-2AAEF410A4DE}"/>
            </a:ext>
          </a:extLst>
        </xdr:cNvPr>
        <xdr:cNvSpPr/>
      </xdr:nvSpPr>
      <xdr:spPr>
        <a:xfrm>
          <a:off x="134035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797</xdr:row>
      <xdr:rowOff>0</xdr:rowOff>
    </xdr:from>
    <xdr:to>
      <xdr:col>39</xdr:col>
      <xdr:colOff>83820</xdr:colOff>
      <xdr:row>797</xdr:row>
      <xdr:rowOff>114300</xdr:rowOff>
    </xdr:to>
    <xdr:sp macro="" textlink="">
      <xdr:nvSpPr>
        <xdr:cNvPr id="5892" name="Arrow: Down 5891">
          <a:extLst>
            <a:ext uri="{FF2B5EF4-FFF2-40B4-BE49-F238E27FC236}">
              <a16:creationId xmlns:a16="http://schemas.microsoft.com/office/drawing/2014/main" id="{4A5F1CE1-C474-4FB8-B815-AC0F25788CE3}"/>
            </a:ext>
          </a:extLst>
        </xdr:cNvPr>
        <xdr:cNvSpPr/>
      </xdr:nvSpPr>
      <xdr:spPr>
        <a:xfrm rot="10800000">
          <a:off x="11544300" y="145671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797</xdr:row>
      <xdr:rowOff>0</xdr:rowOff>
    </xdr:from>
    <xdr:to>
      <xdr:col>24</xdr:col>
      <xdr:colOff>83820</xdr:colOff>
      <xdr:row>797</xdr:row>
      <xdr:rowOff>114300</xdr:rowOff>
    </xdr:to>
    <xdr:sp macro="" textlink="">
      <xdr:nvSpPr>
        <xdr:cNvPr id="5912" name="Arrow: Down 5911">
          <a:extLst>
            <a:ext uri="{FF2B5EF4-FFF2-40B4-BE49-F238E27FC236}">
              <a16:creationId xmlns:a16="http://schemas.microsoft.com/office/drawing/2014/main" id="{77E1D47B-D103-4F06-ACB2-6AF75485B690}"/>
            </a:ext>
          </a:extLst>
        </xdr:cNvPr>
        <xdr:cNvSpPr/>
      </xdr:nvSpPr>
      <xdr:spPr>
        <a:xfrm>
          <a:off x="83362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797</xdr:row>
      <xdr:rowOff>0</xdr:rowOff>
    </xdr:from>
    <xdr:to>
      <xdr:col>5</xdr:col>
      <xdr:colOff>83820</xdr:colOff>
      <xdr:row>797</xdr:row>
      <xdr:rowOff>114300</xdr:rowOff>
    </xdr:to>
    <xdr:sp macro="" textlink="">
      <xdr:nvSpPr>
        <xdr:cNvPr id="5920" name="Arrow: Down 5919">
          <a:extLst>
            <a:ext uri="{FF2B5EF4-FFF2-40B4-BE49-F238E27FC236}">
              <a16:creationId xmlns:a16="http://schemas.microsoft.com/office/drawing/2014/main" id="{C854994A-2ED6-4309-8A98-C6B96EA29D5B}"/>
            </a:ext>
          </a:extLst>
        </xdr:cNvPr>
        <xdr:cNvSpPr/>
      </xdr:nvSpPr>
      <xdr:spPr>
        <a:xfrm rot="10800000">
          <a:off x="192786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797</xdr:row>
      <xdr:rowOff>0</xdr:rowOff>
    </xdr:from>
    <xdr:to>
      <xdr:col>11</xdr:col>
      <xdr:colOff>83820</xdr:colOff>
      <xdr:row>797</xdr:row>
      <xdr:rowOff>114300</xdr:rowOff>
    </xdr:to>
    <xdr:sp macro="" textlink="">
      <xdr:nvSpPr>
        <xdr:cNvPr id="5932" name="Arrow: Down 5931">
          <a:extLst>
            <a:ext uri="{FF2B5EF4-FFF2-40B4-BE49-F238E27FC236}">
              <a16:creationId xmlns:a16="http://schemas.microsoft.com/office/drawing/2014/main" id="{D239F457-750D-4079-813E-2652E173569A}"/>
            </a:ext>
          </a:extLst>
        </xdr:cNvPr>
        <xdr:cNvSpPr/>
      </xdr:nvSpPr>
      <xdr:spPr>
        <a:xfrm rot="10800000">
          <a:off x="369570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797</xdr:row>
      <xdr:rowOff>0</xdr:rowOff>
    </xdr:from>
    <xdr:to>
      <xdr:col>71</xdr:col>
      <xdr:colOff>83820</xdr:colOff>
      <xdr:row>797</xdr:row>
      <xdr:rowOff>114300</xdr:rowOff>
    </xdr:to>
    <xdr:sp macro="" textlink="">
      <xdr:nvSpPr>
        <xdr:cNvPr id="5955" name="Arrow: Down 5954">
          <a:extLst>
            <a:ext uri="{FF2B5EF4-FFF2-40B4-BE49-F238E27FC236}">
              <a16:creationId xmlns:a16="http://schemas.microsoft.com/office/drawing/2014/main" id="{1F38FFAF-601E-42F7-A1BA-0BEE342DACF2}"/>
            </a:ext>
          </a:extLst>
        </xdr:cNvPr>
        <xdr:cNvSpPr/>
      </xdr:nvSpPr>
      <xdr:spPr>
        <a:xfrm>
          <a:off x="22006560" y="1458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798</xdr:row>
      <xdr:rowOff>0</xdr:rowOff>
    </xdr:from>
    <xdr:to>
      <xdr:col>64</xdr:col>
      <xdr:colOff>83820</xdr:colOff>
      <xdr:row>798</xdr:row>
      <xdr:rowOff>114300</xdr:rowOff>
    </xdr:to>
    <xdr:sp macro="" textlink="">
      <xdr:nvSpPr>
        <xdr:cNvPr id="5994" name="Arrow: Down 5993">
          <a:extLst>
            <a:ext uri="{FF2B5EF4-FFF2-40B4-BE49-F238E27FC236}">
              <a16:creationId xmlns:a16="http://schemas.microsoft.com/office/drawing/2014/main" id="{F61FEE8C-2420-45BC-9432-17EBFD742D4B}"/>
            </a:ext>
          </a:extLst>
        </xdr:cNvPr>
        <xdr:cNvSpPr/>
      </xdr:nvSpPr>
      <xdr:spPr>
        <a:xfrm rot="10800000">
          <a:off x="19392900" y="145854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798</xdr:row>
      <xdr:rowOff>0</xdr:rowOff>
    </xdr:from>
    <xdr:to>
      <xdr:col>45</xdr:col>
      <xdr:colOff>83820</xdr:colOff>
      <xdr:row>798</xdr:row>
      <xdr:rowOff>114300</xdr:rowOff>
    </xdr:to>
    <xdr:sp macro="" textlink="">
      <xdr:nvSpPr>
        <xdr:cNvPr id="6000" name="Arrow: Down 5999">
          <a:extLst>
            <a:ext uri="{FF2B5EF4-FFF2-40B4-BE49-F238E27FC236}">
              <a16:creationId xmlns:a16="http://schemas.microsoft.com/office/drawing/2014/main" id="{A98851F8-CBBC-42C6-9B97-D31A7A04BF1D}"/>
            </a:ext>
          </a:extLst>
        </xdr:cNvPr>
        <xdr:cNvSpPr/>
      </xdr:nvSpPr>
      <xdr:spPr>
        <a:xfrm>
          <a:off x="13403580" y="1458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798</xdr:row>
      <xdr:rowOff>0</xdr:rowOff>
    </xdr:from>
    <xdr:to>
      <xdr:col>39</xdr:col>
      <xdr:colOff>83820</xdr:colOff>
      <xdr:row>798</xdr:row>
      <xdr:rowOff>114300</xdr:rowOff>
    </xdr:to>
    <xdr:sp macro="" textlink="">
      <xdr:nvSpPr>
        <xdr:cNvPr id="6025" name="Arrow: Down 6024">
          <a:extLst>
            <a:ext uri="{FF2B5EF4-FFF2-40B4-BE49-F238E27FC236}">
              <a16:creationId xmlns:a16="http://schemas.microsoft.com/office/drawing/2014/main" id="{80B5DD10-B2A4-4798-8108-C35435B88313}"/>
            </a:ext>
          </a:extLst>
        </xdr:cNvPr>
        <xdr:cNvSpPr/>
      </xdr:nvSpPr>
      <xdr:spPr>
        <a:xfrm rot="10800000">
          <a:off x="11544300" y="145854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798</xdr:row>
      <xdr:rowOff>0</xdr:rowOff>
    </xdr:from>
    <xdr:to>
      <xdr:col>5</xdr:col>
      <xdr:colOff>83820</xdr:colOff>
      <xdr:row>798</xdr:row>
      <xdr:rowOff>114300</xdr:rowOff>
    </xdr:to>
    <xdr:sp macro="" textlink="">
      <xdr:nvSpPr>
        <xdr:cNvPr id="6031" name="Arrow: Down 6030">
          <a:extLst>
            <a:ext uri="{FF2B5EF4-FFF2-40B4-BE49-F238E27FC236}">
              <a16:creationId xmlns:a16="http://schemas.microsoft.com/office/drawing/2014/main" id="{3EE8C70B-AD1A-4E22-B37F-1F645EEF7269}"/>
            </a:ext>
          </a:extLst>
        </xdr:cNvPr>
        <xdr:cNvSpPr/>
      </xdr:nvSpPr>
      <xdr:spPr>
        <a:xfrm rot="10800000">
          <a:off x="1927860" y="1458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798</xdr:row>
      <xdr:rowOff>0</xdr:rowOff>
    </xdr:from>
    <xdr:to>
      <xdr:col>11</xdr:col>
      <xdr:colOff>83820</xdr:colOff>
      <xdr:row>798</xdr:row>
      <xdr:rowOff>114300</xdr:rowOff>
    </xdr:to>
    <xdr:sp macro="" textlink="">
      <xdr:nvSpPr>
        <xdr:cNvPr id="6033" name="Arrow: Down 6032">
          <a:extLst>
            <a:ext uri="{FF2B5EF4-FFF2-40B4-BE49-F238E27FC236}">
              <a16:creationId xmlns:a16="http://schemas.microsoft.com/office/drawing/2014/main" id="{7B4E97D9-5EA9-479B-8C6D-71B4004D5D13}"/>
            </a:ext>
          </a:extLst>
        </xdr:cNvPr>
        <xdr:cNvSpPr/>
      </xdr:nvSpPr>
      <xdr:spPr>
        <a:xfrm rot="10800000">
          <a:off x="3695700" y="1458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798</xdr:row>
      <xdr:rowOff>0</xdr:rowOff>
    </xdr:from>
    <xdr:to>
      <xdr:col>71</xdr:col>
      <xdr:colOff>83820</xdr:colOff>
      <xdr:row>798</xdr:row>
      <xdr:rowOff>114300</xdr:rowOff>
    </xdr:to>
    <xdr:sp macro="" textlink="">
      <xdr:nvSpPr>
        <xdr:cNvPr id="6040" name="Arrow: Down 6039">
          <a:extLst>
            <a:ext uri="{FF2B5EF4-FFF2-40B4-BE49-F238E27FC236}">
              <a16:creationId xmlns:a16="http://schemas.microsoft.com/office/drawing/2014/main" id="{E32E4D9D-94BB-49C9-B41E-875B11BB219E}"/>
            </a:ext>
          </a:extLst>
        </xdr:cNvPr>
        <xdr:cNvSpPr/>
      </xdr:nvSpPr>
      <xdr:spPr>
        <a:xfrm rot="10800000">
          <a:off x="2200656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798</xdr:row>
      <xdr:rowOff>0</xdr:rowOff>
    </xdr:from>
    <xdr:to>
      <xdr:col>60</xdr:col>
      <xdr:colOff>83820</xdr:colOff>
      <xdr:row>798</xdr:row>
      <xdr:rowOff>114300</xdr:rowOff>
    </xdr:to>
    <xdr:sp macro="" textlink="">
      <xdr:nvSpPr>
        <xdr:cNvPr id="6043" name="Arrow: Down 6042">
          <a:extLst>
            <a:ext uri="{FF2B5EF4-FFF2-40B4-BE49-F238E27FC236}">
              <a16:creationId xmlns:a16="http://schemas.microsoft.com/office/drawing/2014/main" id="{5D629D09-26A0-4FEB-8BAF-BF7EF9467755}"/>
            </a:ext>
          </a:extLst>
        </xdr:cNvPr>
        <xdr:cNvSpPr/>
      </xdr:nvSpPr>
      <xdr:spPr>
        <a:xfrm rot="10800000">
          <a:off x="1912620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799</xdr:row>
      <xdr:rowOff>0</xdr:rowOff>
    </xdr:from>
    <xdr:to>
      <xdr:col>64</xdr:col>
      <xdr:colOff>83820</xdr:colOff>
      <xdr:row>799</xdr:row>
      <xdr:rowOff>114300</xdr:rowOff>
    </xdr:to>
    <xdr:sp macro="" textlink="">
      <xdr:nvSpPr>
        <xdr:cNvPr id="6044" name="Arrow: Down 6043">
          <a:extLst>
            <a:ext uri="{FF2B5EF4-FFF2-40B4-BE49-F238E27FC236}">
              <a16:creationId xmlns:a16="http://schemas.microsoft.com/office/drawing/2014/main" id="{0FFFA426-B58C-43EF-80E6-E4F5CBFE57BD}"/>
            </a:ext>
          </a:extLst>
        </xdr:cNvPr>
        <xdr:cNvSpPr/>
      </xdr:nvSpPr>
      <xdr:spPr>
        <a:xfrm rot="10800000">
          <a:off x="19392900" y="146037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799</xdr:row>
      <xdr:rowOff>0</xdr:rowOff>
    </xdr:from>
    <xdr:to>
      <xdr:col>45</xdr:col>
      <xdr:colOff>83820</xdr:colOff>
      <xdr:row>799</xdr:row>
      <xdr:rowOff>114300</xdr:rowOff>
    </xdr:to>
    <xdr:sp macro="" textlink="">
      <xdr:nvSpPr>
        <xdr:cNvPr id="6045" name="Arrow: Down 6044">
          <a:extLst>
            <a:ext uri="{FF2B5EF4-FFF2-40B4-BE49-F238E27FC236}">
              <a16:creationId xmlns:a16="http://schemas.microsoft.com/office/drawing/2014/main" id="{FE0DC834-E080-44BB-8E28-5A53EF7D10B5}"/>
            </a:ext>
          </a:extLst>
        </xdr:cNvPr>
        <xdr:cNvSpPr/>
      </xdr:nvSpPr>
      <xdr:spPr>
        <a:xfrm>
          <a:off x="1340358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799</xdr:row>
      <xdr:rowOff>0</xdr:rowOff>
    </xdr:from>
    <xdr:to>
      <xdr:col>5</xdr:col>
      <xdr:colOff>83820</xdr:colOff>
      <xdr:row>799</xdr:row>
      <xdr:rowOff>114300</xdr:rowOff>
    </xdr:to>
    <xdr:sp macro="" textlink="">
      <xdr:nvSpPr>
        <xdr:cNvPr id="6047" name="Arrow: Down 6046">
          <a:extLst>
            <a:ext uri="{FF2B5EF4-FFF2-40B4-BE49-F238E27FC236}">
              <a16:creationId xmlns:a16="http://schemas.microsoft.com/office/drawing/2014/main" id="{E42D336D-883B-43B3-8CB8-2A8787D6B271}"/>
            </a:ext>
          </a:extLst>
        </xdr:cNvPr>
        <xdr:cNvSpPr/>
      </xdr:nvSpPr>
      <xdr:spPr>
        <a:xfrm rot="10800000">
          <a:off x="192786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799</xdr:row>
      <xdr:rowOff>0</xdr:rowOff>
    </xdr:from>
    <xdr:to>
      <xdr:col>11</xdr:col>
      <xdr:colOff>83820</xdr:colOff>
      <xdr:row>799</xdr:row>
      <xdr:rowOff>114300</xdr:rowOff>
    </xdr:to>
    <xdr:sp macro="" textlink="">
      <xdr:nvSpPr>
        <xdr:cNvPr id="6051" name="Arrow: Down 6050">
          <a:extLst>
            <a:ext uri="{FF2B5EF4-FFF2-40B4-BE49-F238E27FC236}">
              <a16:creationId xmlns:a16="http://schemas.microsoft.com/office/drawing/2014/main" id="{87927260-ACAB-4DB0-9BDC-83F702F43379}"/>
            </a:ext>
          </a:extLst>
        </xdr:cNvPr>
        <xdr:cNvSpPr/>
      </xdr:nvSpPr>
      <xdr:spPr>
        <a:xfrm rot="10800000">
          <a:off x="369570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799</xdr:row>
      <xdr:rowOff>0</xdr:rowOff>
    </xdr:from>
    <xdr:to>
      <xdr:col>71</xdr:col>
      <xdr:colOff>83820</xdr:colOff>
      <xdr:row>799</xdr:row>
      <xdr:rowOff>114300</xdr:rowOff>
    </xdr:to>
    <xdr:sp macro="" textlink="">
      <xdr:nvSpPr>
        <xdr:cNvPr id="6053" name="Arrow: Down 6052">
          <a:extLst>
            <a:ext uri="{FF2B5EF4-FFF2-40B4-BE49-F238E27FC236}">
              <a16:creationId xmlns:a16="http://schemas.microsoft.com/office/drawing/2014/main" id="{1B309341-BF43-4DDF-B4B4-6006C026B9E4}"/>
            </a:ext>
          </a:extLst>
        </xdr:cNvPr>
        <xdr:cNvSpPr/>
      </xdr:nvSpPr>
      <xdr:spPr>
        <a:xfrm rot="10800000">
          <a:off x="2200656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799</xdr:row>
      <xdr:rowOff>0</xdr:rowOff>
    </xdr:from>
    <xdr:to>
      <xdr:col>60</xdr:col>
      <xdr:colOff>83820</xdr:colOff>
      <xdr:row>799</xdr:row>
      <xdr:rowOff>114300</xdr:rowOff>
    </xdr:to>
    <xdr:sp macro="" textlink="">
      <xdr:nvSpPr>
        <xdr:cNvPr id="6060" name="Arrow: Down 6059">
          <a:extLst>
            <a:ext uri="{FF2B5EF4-FFF2-40B4-BE49-F238E27FC236}">
              <a16:creationId xmlns:a16="http://schemas.microsoft.com/office/drawing/2014/main" id="{50DAF790-2E3F-46D3-B71B-BDC489DA1B11}"/>
            </a:ext>
          </a:extLst>
        </xdr:cNvPr>
        <xdr:cNvSpPr/>
      </xdr:nvSpPr>
      <xdr:spPr>
        <a:xfrm rot="10800000">
          <a:off x="1912620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798</xdr:row>
      <xdr:rowOff>0</xdr:rowOff>
    </xdr:from>
    <xdr:to>
      <xdr:col>24</xdr:col>
      <xdr:colOff>83820</xdr:colOff>
      <xdr:row>798</xdr:row>
      <xdr:rowOff>114300</xdr:rowOff>
    </xdr:to>
    <xdr:sp macro="" textlink="">
      <xdr:nvSpPr>
        <xdr:cNvPr id="6063" name="Arrow: Down 6062">
          <a:extLst>
            <a:ext uri="{FF2B5EF4-FFF2-40B4-BE49-F238E27FC236}">
              <a16:creationId xmlns:a16="http://schemas.microsoft.com/office/drawing/2014/main" id="{33412E0D-EF4C-4A20-A59D-39228891867B}"/>
            </a:ext>
          </a:extLst>
        </xdr:cNvPr>
        <xdr:cNvSpPr/>
      </xdr:nvSpPr>
      <xdr:spPr>
        <a:xfrm>
          <a:off x="833628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799</xdr:row>
      <xdr:rowOff>0</xdr:rowOff>
    </xdr:from>
    <xdr:to>
      <xdr:col>24</xdr:col>
      <xdr:colOff>83820</xdr:colOff>
      <xdr:row>799</xdr:row>
      <xdr:rowOff>114300</xdr:rowOff>
    </xdr:to>
    <xdr:sp macro="" textlink="">
      <xdr:nvSpPr>
        <xdr:cNvPr id="6065" name="Arrow: Down 6064">
          <a:extLst>
            <a:ext uri="{FF2B5EF4-FFF2-40B4-BE49-F238E27FC236}">
              <a16:creationId xmlns:a16="http://schemas.microsoft.com/office/drawing/2014/main" id="{620FBBBF-06AF-41DE-AECA-91E2B90D83F3}"/>
            </a:ext>
          </a:extLst>
        </xdr:cNvPr>
        <xdr:cNvSpPr/>
      </xdr:nvSpPr>
      <xdr:spPr>
        <a:xfrm>
          <a:off x="8336280" y="1462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799</xdr:row>
      <xdr:rowOff>0</xdr:rowOff>
    </xdr:from>
    <xdr:to>
      <xdr:col>39</xdr:col>
      <xdr:colOff>83820</xdr:colOff>
      <xdr:row>799</xdr:row>
      <xdr:rowOff>114300</xdr:rowOff>
    </xdr:to>
    <xdr:sp macro="" textlink="">
      <xdr:nvSpPr>
        <xdr:cNvPr id="6066" name="Arrow: Down 6065">
          <a:extLst>
            <a:ext uri="{FF2B5EF4-FFF2-40B4-BE49-F238E27FC236}">
              <a16:creationId xmlns:a16="http://schemas.microsoft.com/office/drawing/2014/main" id="{4982C55B-4342-408F-9D06-E1B41C659FE7}"/>
            </a:ext>
          </a:extLst>
        </xdr:cNvPr>
        <xdr:cNvSpPr/>
      </xdr:nvSpPr>
      <xdr:spPr>
        <a:xfrm>
          <a:off x="11544300" y="14622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800</xdr:row>
      <xdr:rowOff>0</xdr:rowOff>
    </xdr:from>
    <xdr:to>
      <xdr:col>64</xdr:col>
      <xdr:colOff>83820</xdr:colOff>
      <xdr:row>800</xdr:row>
      <xdr:rowOff>114300</xdr:rowOff>
    </xdr:to>
    <xdr:sp macro="" textlink="">
      <xdr:nvSpPr>
        <xdr:cNvPr id="6067" name="Arrow: Down 6066">
          <a:extLst>
            <a:ext uri="{FF2B5EF4-FFF2-40B4-BE49-F238E27FC236}">
              <a16:creationId xmlns:a16="http://schemas.microsoft.com/office/drawing/2014/main" id="{7125E9F5-9506-4D63-9B30-7963B6988B25}"/>
            </a:ext>
          </a:extLst>
        </xdr:cNvPr>
        <xdr:cNvSpPr/>
      </xdr:nvSpPr>
      <xdr:spPr>
        <a:xfrm rot="10800000">
          <a:off x="19392900" y="146220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800</xdr:row>
      <xdr:rowOff>0</xdr:rowOff>
    </xdr:from>
    <xdr:to>
      <xdr:col>45</xdr:col>
      <xdr:colOff>83820</xdr:colOff>
      <xdr:row>800</xdr:row>
      <xdr:rowOff>114300</xdr:rowOff>
    </xdr:to>
    <xdr:sp macro="" textlink="">
      <xdr:nvSpPr>
        <xdr:cNvPr id="6068" name="Arrow: Down 6067">
          <a:extLst>
            <a:ext uri="{FF2B5EF4-FFF2-40B4-BE49-F238E27FC236}">
              <a16:creationId xmlns:a16="http://schemas.microsoft.com/office/drawing/2014/main" id="{C3450F67-AD2C-464A-91C9-33855A53C8D5}"/>
            </a:ext>
          </a:extLst>
        </xdr:cNvPr>
        <xdr:cNvSpPr/>
      </xdr:nvSpPr>
      <xdr:spPr>
        <a:xfrm>
          <a:off x="13403580" y="14622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800</xdr:row>
      <xdr:rowOff>0</xdr:rowOff>
    </xdr:from>
    <xdr:to>
      <xdr:col>24</xdr:col>
      <xdr:colOff>83820</xdr:colOff>
      <xdr:row>800</xdr:row>
      <xdr:rowOff>114300</xdr:rowOff>
    </xdr:to>
    <xdr:sp macro="" textlink="">
      <xdr:nvSpPr>
        <xdr:cNvPr id="6079" name="Arrow: Down 6078">
          <a:extLst>
            <a:ext uri="{FF2B5EF4-FFF2-40B4-BE49-F238E27FC236}">
              <a16:creationId xmlns:a16="http://schemas.microsoft.com/office/drawing/2014/main" id="{78ABA0CB-D8BA-40C3-B879-F87EF9BB0151}"/>
            </a:ext>
          </a:extLst>
        </xdr:cNvPr>
        <xdr:cNvSpPr/>
      </xdr:nvSpPr>
      <xdr:spPr>
        <a:xfrm>
          <a:off x="8336280" y="1462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800</xdr:row>
      <xdr:rowOff>0</xdr:rowOff>
    </xdr:from>
    <xdr:to>
      <xdr:col>39</xdr:col>
      <xdr:colOff>83820</xdr:colOff>
      <xdr:row>800</xdr:row>
      <xdr:rowOff>114300</xdr:rowOff>
    </xdr:to>
    <xdr:sp macro="" textlink="">
      <xdr:nvSpPr>
        <xdr:cNvPr id="6080" name="Arrow: Down 6079">
          <a:extLst>
            <a:ext uri="{FF2B5EF4-FFF2-40B4-BE49-F238E27FC236}">
              <a16:creationId xmlns:a16="http://schemas.microsoft.com/office/drawing/2014/main" id="{C3C6BEAA-3C4B-49B5-8CDB-D7CF838DA058}"/>
            </a:ext>
          </a:extLst>
        </xdr:cNvPr>
        <xdr:cNvSpPr/>
      </xdr:nvSpPr>
      <xdr:spPr>
        <a:xfrm>
          <a:off x="11544300" y="14622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800</xdr:row>
      <xdr:rowOff>0</xdr:rowOff>
    </xdr:from>
    <xdr:to>
      <xdr:col>60</xdr:col>
      <xdr:colOff>83820</xdr:colOff>
      <xdr:row>800</xdr:row>
      <xdr:rowOff>114300</xdr:rowOff>
    </xdr:to>
    <xdr:sp macro="" textlink="">
      <xdr:nvSpPr>
        <xdr:cNvPr id="6081" name="Arrow: Down 6080">
          <a:extLst>
            <a:ext uri="{FF2B5EF4-FFF2-40B4-BE49-F238E27FC236}">
              <a16:creationId xmlns:a16="http://schemas.microsoft.com/office/drawing/2014/main" id="{BBB5C738-69C5-4B57-A249-3DCCD9BF2BA3}"/>
            </a:ext>
          </a:extLst>
        </xdr:cNvPr>
        <xdr:cNvSpPr/>
      </xdr:nvSpPr>
      <xdr:spPr>
        <a:xfrm>
          <a:off x="191262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800</xdr:row>
      <xdr:rowOff>0</xdr:rowOff>
    </xdr:from>
    <xdr:to>
      <xdr:col>71</xdr:col>
      <xdr:colOff>83820</xdr:colOff>
      <xdr:row>800</xdr:row>
      <xdr:rowOff>114300</xdr:rowOff>
    </xdr:to>
    <xdr:sp macro="" textlink="">
      <xdr:nvSpPr>
        <xdr:cNvPr id="6083" name="Arrow: Down 6082">
          <a:extLst>
            <a:ext uri="{FF2B5EF4-FFF2-40B4-BE49-F238E27FC236}">
              <a16:creationId xmlns:a16="http://schemas.microsoft.com/office/drawing/2014/main" id="{27BAA6AA-023E-40F0-A9D0-421AF7387420}"/>
            </a:ext>
          </a:extLst>
        </xdr:cNvPr>
        <xdr:cNvSpPr/>
      </xdr:nvSpPr>
      <xdr:spPr>
        <a:xfrm>
          <a:off x="2200656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800</xdr:row>
      <xdr:rowOff>0</xdr:rowOff>
    </xdr:from>
    <xdr:to>
      <xdr:col>5</xdr:col>
      <xdr:colOff>83820</xdr:colOff>
      <xdr:row>800</xdr:row>
      <xdr:rowOff>114300</xdr:rowOff>
    </xdr:to>
    <xdr:sp macro="" textlink="">
      <xdr:nvSpPr>
        <xdr:cNvPr id="6084" name="Arrow: Down 6083">
          <a:extLst>
            <a:ext uri="{FF2B5EF4-FFF2-40B4-BE49-F238E27FC236}">
              <a16:creationId xmlns:a16="http://schemas.microsoft.com/office/drawing/2014/main" id="{E980018C-0A9B-4471-801B-FEF1E41484F2}"/>
            </a:ext>
          </a:extLst>
        </xdr:cNvPr>
        <xdr:cNvSpPr/>
      </xdr:nvSpPr>
      <xdr:spPr>
        <a:xfrm>
          <a:off x="192786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800</xdr:row>
      <xdr:rowOff>0</xdr:rowOff>
    </xdr:from>
    <xdr:to>
      <xdr:col>11</xdr:col>
      <xdr:colOff>83820</xdr:colOff>
      <xdr:row>800</xdr:row>
      <xdr:rowOff>114300</xdr:rowOff>
    </xdr:to>
    <xdr:sp macro="" textlink="">
      <xdr:nvSpPr>
        <xdr:cNvPr id="6093" name="Arrow: Down 6092">
          <a:extLst>
            <a:ext uri="{FF2B5EF4-FFF2-40B4-BE49-F238E27FC236}">
              <a16:creationId xmlns:a16="http://schemas.microsoft.com/office/drawing/2014/main" id="{D0DD275A-90FE-4960-B106-F36BFCCB16BD}"/>
            </a:ext>
          </a:extLst>
        </xdr:cNvPr>
        <xdr:cNvSpPr/>
      </xdr:nvSpPr>
      <xdr:spPr>
        <a:xfrm>
          <a:off x="36957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801</xdr:row>
      <xdr:rowOff>0</xdr:rowOff>
    </xdr:from>
    <xdr:to>
      <xdr:col>64</xdr:col>
      <xdr:colOff>83820</xdr:colOff>
      <xdr:row>801</xdr:row>
      <xdr:rowOff>114300</xdr:rowOff>
    </xdr:to>
    <xdr:sp macro="" textlink="">
      <xdr:nvSpPr>
        <xdr:cNvPr id="6097" name="Arrow: Down 6096">
          <a:extLst>
            <a:ext uri="{FF2B5EF4-FFF2-40B4-BE49-F238E27FC236}">
              <a16:creationId xmlns:a16="http://schemas.microsoft.com/office/drawing/2014/main" id="{2B52F1E0-1E34-4740-9106-DA8F68A8DD9C}"/>
            </a:ext>
          </a:extLst>
        </xdr:cNvPr>
        <xdr:cNvSpPr/>
      </xdr:nvSpPr>
      <xdr:spPr>
        <a:xfrm rot="10800000">
          <a:off x="19392900" y="146403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801</xdr:row>
      <xdr:rowOff>0</xdr:rowOff>
    </xdr:from>
    <xdr:to>
      <xdr:col>45</xdr:col>
      <xdr:colOff>83820</xdr:colOff>
      <xdr:row>801</xdr:row>
      <xdr:rowOff>114300</xdr:rowOff>
    </xdr:to>
    <xdr:sp macro="" textlink="">
      <xdr:nvSpPr>
        <xdr:cNvPr id="6100" name="Arrow: Down 6099">
          <a:extLst>
            <a:ext uri="{FF2B5EF4-FFF2-40B4-BE49-F238E27FC236}">
              <a16:creationId xmlns:a16="http://schemas.microsoft.com/office/drawing/2014/main" id="{8BE568D3-A1A5-4808-87D9-EF6FD340D0C8}"/>
            </a:ext>
          </a:extLst>
        </xdr:cNvPr>
        <xdr:cNvSpPr/>
      </xdr:nvSpPr>
      <xdr:spPr>
        <a:xfrm>
          <a:off x="13403580" y="14640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801</xdr:row>
      <xdr:rowOff>0</xdr:rowOff>
    </xdr:from>
    <xdr:to>
      <xdr:col>24</xdr:col>
      <xdr:colOff>83820</xdr:colOff>
      <xdr:row>801</xdr:row>
      <xdr:rowOff>114300</xdr:rowOff>
    </xdr:to>
    <xdr:sp macro="" textlink="">
      <xdr:nvSpPr>
        <xdr:cNvPr id="6101" name="Arrow: Down 6100">
          <a:extLst>
            <a:ext uri="{FF2B5EF4-FFF2-40B4-BE49-F238E27FC236}">
              <a16:creationId xmlns:a16="http://schemas.microsoft.com/office/drawing/2014/main" id="{67FAE160-88C7-41B8-99F4-F7681CF779E9}"/>
            </a:ext>
          </a:extLst>
        </xdr:cNvPr>
        <xdr:cNvSpPr/>
      </xdr:nvSpPr>
      <xdr:spPr>
        <a:xfrm>
          <a:off x="833628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801</xdr:row>
      <xdr:rowOff>0</xdr:rowOff>
    </xdr:from>
    <xdr:to>
      <xdr:col>39</xdr:col>
      <xdr:colOff>83820</xdr:colOff>
      <xdr:row>801</xdr:row>
      <xdr:rowOff>114300</xdr:rowOff>
    </xdr:to>
    <xdr:sp macro="" textlink="">
      <xdr:nvSpPr>
        <xdr:cNvPr id="6102" name="Arrow: Down 6101">
          <a:extLst>
            <a:ext uri="{FF2B5EF4-FFF2-40B4-BE49-F238E27FC236}">
              <a16:creationId xmlns:a16="http://schemas.microsoft.com/office/drawing/2014/main" id="{C7FAD586-DBCA-4396-98F5-9B4F2B55287C}"/>
            </a:ext>
          </a:extLst>
        </xdr:cNvPr>
        <xdr:cNvSpPr/>
      </xdr:nvSpPr>
      <xdr:spPr>
        <a:xfrm>
          <a:off x="11544300" y="14640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801</xdr:row>
      <xdr:rowOff>0</xdr:rowOff>
    </xdr:from>
    <xdr:to>
      <xdr:col>60</xdr:col>
      <xdr:colOff>83820</xdr:colOff>
      <xdr:row>801</xdr:row>
      <xdr:rowOff>114300</xdr:rowOff>
    </xdr:to>
    <xdr:sp macro="" textlink="">
      <xdr:nvSpPr>
        <xdr:cNvPr id="6103" name="Arrow: Down 6102">
          <a:extLst>
            <a:ext uri="{FF2B5EF4-FFF2-40B4-BE49-F238E27FC236}">
              <a16:creationId xmlns:a16="http://schemas.microsoft.com/office/drawing/2014/main" id="{A86C5217-30D5-4496-B721-5D5265C1E042}"/>
            </a:ext>
          </a:extLst>
        </xdr:cNvPr>
        <xdr:cNvSpPr/>
      </xdr:nvSpPr>
      <xdr:spPr>
        <a:xfrm>
          <a:off x="191262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801</xdr:row>
      <xdr:rowOff>0</xdr:rowOff>
    </xdr:from>
    <xdr:to>
      <xdr:col>5</xdr:col>
      <xdr:colOff>83820</xdr:colOff>
      <xdr:row>801</xdr:row>
      <xdr:rowOff>114300</xdr:rowOff>
    </xdr:to>
    <xdr:sp macro="" textlink="">
      <xdr:nvSpPr>
        <xdr:cNvPr id="6112" name="Arrow: Down 6111">
          <a:extLst>
            <a:ext uri="{FF2B5EF4-FFF2-40B4-BE49-F238E27FC236}">
              <a16:creationId xmlns:a16="http://schemas.microsoft.com/office/drawing/2014/main" id="{CE1E59C3-A183-4D93-BE6E-311850EA8368}"/>
            </a:ext>
          </a:extLst>
        </xdr:cNvPr>
        <xdr:cNvSpPr/>
      </xdr:nvSpPr>
      <xdr:spPr>
        <a:xfrm>
          <a:off x="192786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801</xdr:row>
      <xdr:rowOff>0</xdr:rowOff>
    </xdr:from>
    <xdr:to>
      <xdr:col>11</xdr:col>
      <xdr:colOff>83820</xdr:colOff>
      <xdr:row>801</xdr:row>
      <xdr:rowOff>114300</xdr:rowOff>
    </xdr:to>
    <xdr:sp macro="" textlink="">
      <xdr:nvSpPr>
        <xdr:cNvPr id="6114" name="Arrow: Down 6113">
          <a:extLst>
            <a:ext uri="{FF2B5EF4-FFF2-40B4-BE49-F238E27FC236}">
              <a16:creationId xmlns:a16="http://schemas.microsoft.com/office/drawing/2014/main" id="{A985E98C-49D3-46FA-996E-E839C3A66185}"/>
            </a:ext>
          </a:extLst>
        </xdr:cNvPr>
        <xdr:cNvSpPr/>
      </xdr:nvSpPr>
      <xdr:spPr>
        <a:xfrm>
          <a:off x="36957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802</xdr:row>
      <xdr:rowOff>0</xdr:rowOff>
    </xdr:from>
    <xdr:to>
      <xdr:col>64</xdr:col>
      <xdr:colOff>83820</xdr:colOff>
      <xdr:row>802</xdr:row>
      <xdr:rowOff>114300</xdr:rowOff>
    </xdr:to>
    <xdr:sp macro="" textlink="">
      <xdr:nvSpPr>
        <xdr:cNvPr id="6136" name="Arrow: Down 6135">
          <a:extLst>
            <a:ext uri="{FF2B5EF4-FFF2-40B4-BE49-F238E27FC236}">
              <a16:creationId xmlns:a16="http://schemas.microsoft.com/office/drawing/2014/main" id="{64B10E66-21C4-4F2D-9737-0245513CFC68}"/>
            </a:ext>
          </a:extLst>
        </xdr:cNvPr>
        <xdr:cNvSpPr/>
      </xdr:nvSpPr>
      <xdr:spPr>
        <a:xfrm rot="10800000">
          <a:off x="19392900" y="146585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802</xdr:row>
      <xdr:rowOff>0</xdr:rowOff>
    </xdr:from>
    <xdr:to>
      <xdr:col>24</xdr:col>
      <xdr:colOff>83820</xdr:colOff>
      <xdr:row>802</xdr:row>
      <xdr:rowOff>114300</xdr:rowOff>
    </xdr:to>
    <xdr:sp macro="" textlink="">
      <xdr:nvSpPr>
        <xdr:cNvPr id="6138" name="Arrow: Down 6137">
          <a:extLst>
            <a:ext uri="{FF2B5EF4-FFF2-40B4-BE49-F238E27FC236}">
              <a16:creationId xmlns:a16="http://schemas.microsoft.com/office/drawing/2014/main" id="{072813C2-951B-452D-9BA3-048E35A43A5E}"/>
            </a:ext>
          </a:extLst>
        </xdr:cNvPr>
        <xdr:cNvSpPr/>
      </xdr:nvSpPr>
      <xdr:spPr>
        <a:xfrm>
          <a:off x="833628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802</xdr:row>
      <xdr:rowOff>0</xdr:rowOff>
    </xdr:from>
    <xdr:to>
      <xdr:col>60</xdr:col>
      <xdr:colOff>83820</xdr:colOff>
      <xdr:row>802</xdr:row>
      <xdr:rowOff>114300</xdr:rowOff>
    </xdr:to>
    <xdr:sp macro="" textlink="">
      <xdr:nvSpPr>
        <xdr:cNvPr id="6147" name="Arrow: Down 6146">
          <a:extLst>
            <a:ext uri="{FF2B5EF4-FFF2-40B4-BE49-F238E27FC236}">
              <a16:creationId xmlns:a16="http://schemas.microsoft.com/office/drawing/2014/main" id="{F12DB5C2-748D-4164-8E44-26B56668B3B5}"/>
            </a:ext>
          </a:extLst>
        </xdr:cNvPr>
        <xdr:cNvSpPr/>
      </xdr:nvSpPr>
      <xdr:spPr>
        <a:xfrm>
          <a:off x="1912620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802</xdr:row>
      <xdr:rowOff>0</xdr:rowOff>
    </xdr:from>
    <xdr:to>
      <xdr:col>71</xdr:col>
      <xdr:colOff>83820</xdr:colOff>
      <xdr:row>802</xdr:row>
      <xdr:rowOff>114300</xdr:rowOff>
    </xdr:to>
    <xdr:sp macro="" textlink="">
      <xdr:nvSpPr>
        <xdr:cNvPr id="6149" name="Arrow: Down 6148">
          <a:extLst>
            <a:ext uri="{FF2B5EF4-FFF2-40B4-BE49-F238E27FC236}">
              <a16:creationId xmlns:a16="http://schemas.microsoft.com/office/drawing/2014/main" id="{63C5B553-D4FE-48D3-9236-3C2620328CDC}"/>
            </a:ext>
          </a:extLst>
        </xdr:cNvPr>
        <xdr:cNvSpPr/>
      </xdr:nvSpPr>
      <xdr:spPr>
        <a:xfrm>
          <a:off x="2200656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802</xdr:row>
      <xdr:rowOff>0</xdr:rowOff>
    </xdr:from>
    <xdr:to>
      <xdr:col>5</xdr:col>
      <xdr:colOff>83820</xdr:colOff>
      <xdr:row>802</xdr:row>
      <xdr:rowOff>114300</xdr:rowOff>
    </xdr:to>
    <xdr:sp macro="" textlink="">
      <xdr:nvSpPr>
        <xdr:cNvPr id="6151" name="Arrow: Down 6150">
          <a:extLst>
            <a:ext uri="{FF2B5EF4-FFF2-40B4-BE49-F238E27FC236}">
              <a16:creationId xmlns:a16="http://schemas.microsoft.com/office/drawing/2014/main" id="{2724DBB1-C45C-488A-9A5E-8A490C0ED837}"/>
            </a:ext>
          </a:extLst>
        </xdr:cNvPr>
        <xdr:cNvSpPr/>
      </xdr:nvSpPr>
      <xdr:spPr>
        <a:xfrm>
          <a:off x="192786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802</xdr:row>
      <xdr:rowOff>0</xdr:rowOff>
    </xdr:from>
    <xdr:to>
      <xdr:col>11</xdr:col>
      <xdr:colOff>83820</xdr:colOff>
      <xdr:row>802</xdr:row>
      <xdr:rowOff>114300</xdr:rowOff>
    </xdr:to>
    <xdr:sp macro="" textlink="">
      <xdr:nvSpPr>
        <xdr:cNvPr id="6153" name="Arrow: Down 6152">
          <a:extLst>
            <a:ext uri="{FF2B5EF4-FFF2-40B4-BE49-F238E27FC236}">
              <a16:creationId xmlns:a16="http://schemas.microsoft.com/office/drawing/2014/main" id="{EF8F4D40-B1E9-4C79-94B6-37D0712D194A}"/>
            </a:ext>
          </a:extLst>
        </xdr:cNvPr>
        <xdr:cNvSpPr/>
      </xdr:nvSpPr>
      <xdr:spPr>
        <a:xfrm>
          <a:off x="369570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802</xdr:row>
      <xdr:rowOff>0</xdr:rowOff>
    </xdr:from>
    <xdr:to>
      <xdr:col>39</xdr:col>
      <xdr:colOff>83820</xdr:colOff>
      <xdr:row>802</xdr:row>
      <xdr:rowOff>114300</xdr:rowOff>
    </xdr:to>
    <xdr:sp macro="" textlink="">
      <xdr:nvSpPr>
        <xdr:cNvPr id="6154" name="Arrow: Down 6153">
          <a:extLst>
            <a:ext uri="{FF2B5EF4-FFF2-40B4-BE49-F238E27FC236}">
              <a16:creationId xmlns:a16="http://schemas.microsoft.com/office/drawing/2014/main" id="{DE647097-C066-4F6C-9678-52C1C4F89167}"/>
            </a:ext>
          </a:extLst>
        </xdr:cNvPr>
        <xdr:cNvSpPr/>
      </xdr:nvSpPr>
      <xdr:spPr>
        <a:xfrm rot="10800000">
          <a:off x="1154430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802</xdr:row>
      <xdr:rowOff>0</xdr:rowOff>
    </xdr:from>
    <xdr:to>
      <xdr:col>45</xdr:col>
      <xdr:colOff>83820</xdr:colOff>
      <xdr:row>802</xdr:row>
      <xdr:rowOff>114300</xdr:rowOff>
    </xdr:to>
    <xdr:sp macro="" textlink="">
      <xdr:nvSpPr>
        <xdr:cNvPr id="6155" name="Arrow: Down 6154">
          <a:extLst>
            <a:ext uri="{FF2B5EF4-FFF2-40B4-BE49-F238E27FC236}">
              <a16:creationId xmlns:a16="http://schemas.microsoft.com/office/drawing/2014/main" id="{51401121-C946-46F6-872E-957B78E497DA}"/>
            </a:ext>
          </a:extLst>
        </xdr:cNvPr>
        <xdr:cNvSpPr/>
      </xdr:nvSpPr>
      <xdr:spPr>
        <a:xfrm rot="10800000">
          <a:off x="1340358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801</xdr:row>
      <xdr:rowOff>0</xdr:rowOff>
    </xdr:from>
    <xdr:to>
      <xdr:col>71</xdr:col>
      <xdr:colOff>83820</xdr:colOff>
      <xdr:row>801</xdr:row>
      <xdr:rowOff>114300</xdr:rowOff>
    </xdr:to>
    <xdr:sp macro="" textlink="">
      <xdr:nvSpPr>
        <xdr:cNvPr id="6157" name="Arrow: Down 6156">
          <a:extLst>
            <a:ext uri="{FF2B5EF4-FFF2-40B4-BE49-F238E27FC236}">
              <a16:creationId xmlns:a16="http://schemas.microsoft.com/office/drawing/2014/main" id="{10C70567-B7DC-40F3-B2B3-55CF59B33B0E}"/>
            </a:ext>
          </a:extLst>
        </xdr:cNvPr>
        <xdr:cNvSpPr/>
      </xdr:nvSpPr>
      <xdr:spPr>
        <a:xfrm rot="10800000">
          <a:off x="22006560" y="1465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803</xdr:row>
      <xdr:rowOff>0</xdr:rowOff>
    </xdr:from>
    <xdr:to>
      <xdr:col>64</xdr:col>
      <xdr:colOff>83820</xdr:colOff>
      <xdr:row>803</xdr:row>
      <xdr:rowOff>114300</xdr:rowOff>
    </xdr:to>
    <xdr:sp macro="" textlink="">
      <xdr:nvSpPr>
        <xdr:cNvPr id="5795" name="Arrow: Down 5794">
          <a:extLst>
            <a:ext uri="{FF2B5EF4-FFF2-40B4-BE49-F238E27FC236}">
              <a16:creationId xmlns:a16="http://schemas.microsoft.com/office/drawing/2014/main" id="{8FFA7717-515B-43CC-A652-694E508B3672}"/>
            </a:ext>
          </a:extLst>
        </xdr:cNvPr>
        <xdr:cNvSpPr/>
      </xdr:nvSpPr>
      <xdr:spPr>
        <a:xfrm rot="10800000">
          <a:off x="19392900" y="146768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803</xdr:row>
      <xdr:rowOff>0</xdr:rowOff>
    </xdr:from>
    <xdr:to>
      <xdr:col>39</xdr:col>
      <xdr:colOff>83820</xdr:colOff>
      <xdr:row>803</xdr:row>
      <xdr:rowOff>114300</xdr:rowOff>
    </xdr:to>
    <xdr:sp macro="" textlink="">
      <xdr:nvSpPr>
        <xdr:cNvPr id="5854" name="Arrow: Down 5853">
          <a:extLst>
            <a:ext uri="{FF2B5EF4-FFF2-40B4-BE49-F238E27FC236}">
              <a16:creationId xmlns:a16="http://schemas.microsoft.com/office/drawing/2014/main" id="{35658721-971E-40FA-B30C-81B85C13470D}"/>
            </a:ext>
          </a:extLst>
        </xdr:cNvPr>
        <xdr:cNvSpPr/>
      </xdr:nvSpPr>
      <xdr:spPr>
        <a:xfrm rot="10800000">
          <a:off x="1154430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803</xdr:row>
      <xdr:rowOff>0</xdr:rowOff>
    </xdr:from>
    <xdr:to>
      <xdr:col>45</xdr:col>
      <xdr:colOff>83820</xdr:colOff>
      <xdr:row>803</xdr:row>
      <xdr:rowOff>114300</xdr:rowOff>
    </xdr:to>
    <xdr:sp macro="" textlink="">
      <xdr:nvSpPr>
        <xdr:cNvPr id="5857" name="Arrow: Down 5856">
          <a:extLst>
            <a:ext uri="{FF2B5EF4-FFF2-40B4-BE49-F238E27FC236}">
              <a16:creationId xmlns:a16="http://schemas.microsoft.com/office/drawing/2014/main" id="{2C0A781F-0C55-4546-905E-3A7A7763205E}"/>
            </a:ext>
          </a:extLst>
        </xdr:cNvPr>
        <xdr:cNvSpPr/>
      </xdr:nvSpPr>
      <xdr:spPr>
        <a:xfrm rot="10800000">
          <a:off x="1340358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804</xdr:row>
      <xdr:rowOff>0</xdr:rowOff>
    </xdr:from>
    <xdr:to>
      <xdr:col>64</xdr:col>
      <xdr:colOff>83820</xdr:colOff>
      <xdr:row>804</xdr:row>
      <xdr:rowOff>114300</xdr:rowOff>
    </xdr:to>
    <xdr:sp macro="" textlink="">
      <xdr:nvSpPr>
        <xdr:cNvPr id="5992" name="Arrow: Down 5991">
          <a:extLst>
            <a:ext uri="{FF2B5EF4-FFF2-40B4-BE49-F238E27FC236}">
              <a16:creationId xmlns:a16="http://schemas.microsoft.com/office/drawing/2014/main" id="{B97F8636-09DB-4DF2-8B7D-FAC42240913C}"/>
            </a:ext>
          </a:extLst>
        </xdr:cNvPr>
        <xdr:cNvSpPr/>
      </xdr:nvSpPr>
      <xdr:spPr>
        <a:xfrm rot="10800000">
          <a:off x="19392900" y="146951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805</xdr:row>
      <xdr:rowOff>0</xdr:rowOff>
    </xdr:from>
    <xdr:to>
      <xdr:col>64</xdr:col>
      <xdr:colOff>83820</xdr:colOff>
      <xdr:row>805</xdr:row>
      <xdr:rowOff>114300</xdr:rowOff>
    </xdr:to>
    <xdr:sp macro="" textlink="">
      <xdr:nvSpPr>
        <xdr:cNvPr id="6069" name="Arrow: Down 6068">
          <a:extLst>
            <a:ext uri="{FF2B5EF4-FFF2-40B4-BE49-F238E27FC236}">
              <a16:creationId xmlns:a16="http://schemas.microsoft.com/office/drawing/2014/main" id="{8B181EA6-C38F-477F-8F18-04BCA37A1F60}"/>
            </a:ext>
          </a:extLst>
        </xdr:cNvPr>
        <xdr:cNvSpPr/>
      </xdr:nvSpPr>
      <xdr:spPr>
        <a:xfrm rot="10800000">
          <a:off x="19392900" y="147134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805</xdr:row>
      <xdr:rowOff>0</xdr:rowOff>
    </xdr:from>
    <xdr:to>
      <xdr:col>24</xdr:col>
      <xdr:colOff>83820</xdr:colOff>
      <xdr:row>805</xdr:row>
      <xdr:rowOff>114300</xdr:rowOff>
    </xdr:to>
    <xdr:sp macro="" textlink="">
      <xdr:nvSpPr>
        <xdr:cNvPr id="6071" name="Arrow: Down 6070">
          <a:extLst>
            <a:ext uri="{FF2B5EF4-FFF2-40B4-BE49-F238E27FC236}">
              <a16:creationId xmlns:a16="http://schemas.microsoft.com/office/drawing/2014/main" id="{568105AB-2D66-443F-BA2D-24BA75746175}"/>
            </a:ext>
          </a:extLst>
        </xdr:cNvPr>
        <xdr:cNvSpPr/>
      </xdr:nvSpPr>
      <xdr:spPr>
        <a:xfrm>
          <a:off x="8336280" y="1471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805</xdr:row>
      <xdr:rowOff>0</xdr:rowOff>
    </xdr:from>
    <xdr:to>
      <xdr:col>60</xdr:col>
      <xdr:colOff>83820</xdr:colOff>
      <xdr:row>805</xdr:row>
      <xdr:rowOff>114300</xdr:rowOff>
    </xdr:to>
    <xdr:sp macro="" textlink="">
      <xdr:nvSpPr>
        <xdr:cNvPr id="6072" name="Arrow: Down 6071">
          <a:extLst>
            <a:ext uri="{FF2B5EF4-FFF2-40B4-BE49-F238E27FC236}">
              <a16:creationId xmlns:a16="http://schemas.microsoft.com/office/drawing/2014/main" id="{55B6DF13-F46C-4AB5-9B59-965986708582}"/>
            </a:ext>
          </a:extLst>
        </xdr:cNvPr>
        <xdr:cNvSpPr/>
      </xdr:nvSpPr>
      <xdr:spPr>
        <a:xfrm>
          <a:off x="19126200" y="1471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805</xdr:row>
      <xdr:rowOff>0</xdr:rowOff>
    </xdr:from>
    <xdr:to>
      <xdr:col>71</xdr:col>
      <xdr:colOff>83820</xdr:colOff>
      <xdr:row>805</xdr:row>
      <xdr:rowOff>114300</xdr:rowOff>
    </xdr:to>
    <xdr:sp macro="" textlink="">
      <xdr:nvSpPr>
        <xdr:cNvPr id="6073" name="Arrow: Down 6072">
          <a:extLst>
            <a:ext uri="{FF2B5EF4-FFF2-40B4-BE49-F238E27FC236}">
              <a16:creationId xmlns:a16="http://schemas.microsoft.com/office/drawing/2014/main" id="{98DD3200-1088-4A21-AE77-12323D87B036}"/>
            </a:ext>
          </a:extLst>
        </xdr:cNvPr>
        <xdr:cNvSpPr/>
      </xdr:nvSpPr>
      <xdr:spPr>
        <a:xfrm>
          <a:off x="22006560" y="1471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805</xdr:row>
      <xdr:rowOff>0</xdr:rowOff>
    </xdr:from>
    <xdr:to>
      <xdr:col>39</xdr:col>
      <xdr:colOff>83820</xdr:colOff>
      <xdr:row>805</xdr:row>
      <xdr:rowOff>114300</xdr:rowOff>
    </xdr:to>
    <xdr:sp macro="" textlink="">
      <xdr:nvSpPr>
        <xdr:cNvPr id="6119" name="Arrow: Down 6118">
          <a:extLst>
            <a:ext uri="{FF2B5EF4-FFF2-40B4-BE49-F238E27FC236}">
              <a16:creationId xmlns:a16="http://schemas.microsoft.com/office/drawing/2014/main" id="{0D6E291F-280F-413E-847D-6C23FA33EB2B}"/>
            </a:ext>
          </a:extLst>
        </xdr:cNvPr>
        <xdr:cNvSpPr/>
      </xdr:nvSpPr>
      <xdr:spPr>
        <a:xfrm rot="10800000">
          <a:off x="11544300" y="147134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805</xdr:row>
      <xdr:rowOff>0</xdr:rowOff>
    </xdr:from>
    <xdr:to>
      <xdr:col>45</xdr:col>
      <xdr:colOff>83820</xdr:colOff>
      <xdr:row>805</xdr:row>
      <xdr:rowOff>114300</xdr:rowOff>
    </xdr:to>
    <xdr:sp macro="" textlink="">
      <xdr:nvSpPr>
        <xdr:cNvPr id="6120" name="Arrow: Down 6119">
          <a:extLst>
            <a:ext uri="{FF2B5EF4-FFF2-40B4-BE49-F238E27FC236}">
              <a16:creationId xmlns:a16="http://schemas.microsoft.com/office/drawing/2014/main" id="{399F0570-F195-4F91-8465-4D466C674B37}"/>
            </a:ext>
          </a:extLst>
        </xdr:cNvPr>
        <xdr:cNvSpPr/>
      </xdr:nvSpPr>
      <xdr:spPr>
        <a:xfrm rot="10800000">
          <a:off x="13403580" y="147134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806</xdr:row>
      <xdr:rowOff>0</xdr:rowOff>
    </xdr:from>
    <xdr:to>
      <xdr:col>64</xdr:col>
      <xdr:colOff>83820</xdr:colOff>
      <xdr:row>806</xdr:row>
      <xdr:rowOff>114300</xdr:rowOff>
    </xdr:to>
    <xdr:sp macro="" textlink="">
      <xdr:nvSpPr>
        <xdr:cNvPr id="6126" name="Arrow: Down 6125">
          <a:extLst>
            <a:ext uri="{FF2B5EF4-FFF2-40B4-BE49-F238E27FC236}">
              <a16:creationId xmlns:a16="http://schemas.microsoft.com/office/drawing/2014/main" id="{94FF5271-ACB5-454C-820D-B2FA05C752EC}"/>
            </a:ext>
          </a:extLst>
        </xdr:cNvPr>
        <xdr:cNvSpPr/>
      </xdr:nvSpPr>
      <xdr:spPr>
        <a:xfrm rot="10800000">
          <a:off x="19392900" y="147317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806</xdr:row>
      <xdr:rowOff>0</xdr:rowOff>
    </xdr:from>
    <xdr:to>
      <xdr:col>24</xdr:col>
      <xdr:colOff>83820</xdr:colOff>
      <xdr:row>806</xdr:row>
      <xdr:rowOff>114300</xdr:rowOff>
    </xdr:to>
    <xdr:sp macro="" textlink="">
      <xdr:nvSpPr>
        <xdr:cNvPr id="6128" name="Arrow: Down 6127">
          <a:extLst>
            <a:ext uri="{FF2B5EF4-FFF2-40B4-BE49-F238E27FC236}">
              <a16:creationId xmlns:a16="http://schemas.microsoft.com/office/drawing/2014/main" id="{15A5C736-809B-4EF8-BBE8-E2C5F9649273}"/>
            </a:ext>
          </a:extLst>
        </xdr:cNvPr>
        <xdr:cNvSpPr/>
      </xdr:nvSpPr>
      <xdr:spPr>
        <a:xfrm>
          <a:off x="833628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806</xdr:row>
      <xdr:rowOff>0</xdr:rowOff>
    </xdr:from>
    <xdr:to>
      <xdr:col>60</xdr:col>
      <xdr:colOff>83820</xdr:colOff>
      <xdr:row>806</xdr:row>
      <xdr:rowOff>114300</xdr:rowOff>
    </xdr:to>
    <xdr:sp macro="" textlink="">
      <xdr:nvSpPr>
        <xdr:cNvPr id="6131" name="Arrow: Down 6130">
          <a:extLst>
            <a:ext uri="{FF2B5EF4-FFF2-40B4-BE49-F238E27FC236}">
              <a16:creationId xmlns:a16="http://schemas.microsoft.com/office/drawing/2014/main" id="{E9D9321E-12F9-4D7C-B577-C727AAC814E9}"/>
            </a:ext>
          </a:extLst>
        </xdr:cNvPr>
        <xdr:cNvSpPr/>
      </xdr:nvSpPr>
      <xdr:spPr>
        <a:xfrm>
          <a:off x="1912620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806</xdr:row>
      <xdr:rowOff>0</xdr:rowOff>
    </xdr:from>
    <xdr:to>
      <xdr:col>71</xdr:col>
      <xdr:colOff>83820</xdr:colOff>
      <xdr:row>806</xdr:row>
      <xdr:rowOff>114300</xdr:rowOff>
    </xdr:to>
    <xdr:sp macro="" textlink="">
      <xdr:nvSpPr>
        <xdr:cNvPr id="6132" name="Arrow: Down 6131">
          <a:extLst>
            <a:ext uri="{FF2B5EF4-FFF2-40B4-BE49-F238E27FC236}">
              <a16:creationId xmlns:a16="http://schemas.microsoft.com/office/drawing/2014/main" id="{06348DCD-9376-422D-BF69-D36E279CA1FF}"/>
            </a:ext>
          </a:extLst>
        </xdr:cNvPr>
        <xdr:cNvSpPr/>
      </xdr:nvSpPr>
      <xdr:spPr>
        <a:xfrm>
          <a:off x="2200656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83820</xdr:colOff>
      <xdr:row>806</xdr:row>
      <xdr:rowOff>114300</xdr:rowOff>
    </xdr:to>
    <xdr:sp macro="" textlink="">
      <xdr:nvSpPr>
        <xdr:cNvPr id="6133" name="Arrow: Down 6132">
          <a:extLst>
            <a:ext uri="{FF2B5EF4-FFF2-40B4-BE49-F238E27FC236}">
              <a16:creationId xmlns:a16="http://schemas.microsoft.com/office/drawing/2014/main" id="{36C06225-3289-4684-81CD-CFD03BCF5178}"/>
            </a:ext>
          </a:extLst>
        </xdr:cNvPr>
        <xdr:cNvSpPr/>
      </xdr:nvSpPr>
      <xdr:spPr>
        <a:xfrm>
          <a:off x="192786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806</xdr:row>
      <xdr:rowOff>0</xdr:rowOff>
    </xdr:from>
    <xdr:to>
      <xdr:col>11</xdr:col>
      <xdr:colOff>83820</xdr:colOff>
      <xdr:row>806</xdr:row>
      <xdr:rowOff>114300</xdr:rowOff>
    </xdr:to>
    <xdr:sp macro="" textlink="">
      <xdr:nvSpPr>
        <xdr:cNvPr id="6134" name="Arrow: Down 6133">
          <a:extLst>
            <a:ext uri="{FF2B5EF4-FFF2-40B4-BE49-F238E27FC236}">
              <a16:creationId xmlns:a16="http://schemas.microsoft.com/office/drawing/2014/main" id="{01F53B1C-911E-45D5-A178-9215B5EC0CA5}"/>
            </a:ext>
          </a:extLst>
        </xdr:cNvPr>
        <xdr:cNvSpPr/>
      </xdr:nvSpPr>
      <xdr:spPr>
        <a:xfrm>
          <a:off x="369570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806</xdr:row>
      <xdr:rowOff>0</xdr:rowOff>
    </xdr:from>
    <xdr:to>
      <xdr:col>39</xdr:col>
      <xdr:colOff>83820</xdr:colOff>
      <xdr:row>806</xdr:row>
      <xdr:rowOff>114300</xdr:rowOff>
    </xdr:to>
    <xdr:sp macro="" textlink="">
      <xdr:nvSpPr>
        <xdr:cNvPr id="6137" name="Arrow: Down 6136">
          <a:extLst>
            <a:ext uri="{FF2B5EF4-FFF2-40B4-BE49-F238E27FC236}">
              <a16:creationId xmlns:a16="http://schemas.microsoft.com/office/drawing/2014/main" id="{92BD01C8-BBDD-4200-99D1-D85EFF952DA6}"/>
            </a:ext>
          </a:extLst>
        </xdr:cNvPr>
        <xdr:cNvSpPr/>
      </xdr:nvSpPr>
      <xdr:spPr>
        <a:xfrm rot="10800000">
          <a:off x="11544300" y="147317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806</xdr:row>
      <xdr:rowOff>0</xdr:rowOff>
    </xdr:from>
    <xdr:to>
      <xdr:col>45</xdr:col>
      <xdr:colOff>83820</xdr:colOff>
      <xdr:row>806</xdr:row>
      <xdr:rowOff>114300</xdr:rowOff>
    </xdr:to>
    <xdr:sp macro="" textlink="">
      <xdr:nvSpPr>
        <xdr:cNvPr id="6139" name="Arrow: Down 6138">
          <a:extLst>
            <a:ext uri="{FF2B5EF4-FFF2-40B4-BE49-F238E27FC236}">
              <a16:creationId xmlns:a16="http://schemas.microsoft.com/office/drawing/2014/main" id="{CCA686AE-FFAF-4B16-A3C6-298B5DEC3B73}"/>
            </a:ext>
          </a:extLst>
        </xdr:cNvPr>
        <xdr:cNvSpPr/>
      </xdr:nvSpPr>
      <xdr:spPr>
        <a:xfrm rot="10800000">
          <a:off x="13403580" y="147317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807</xdr:row>
      <xdr:rowOff>0</xdr:rowOff>
    </xdr:from>
    <xdr:to>
      <xdr:col>64</xdr:col>
      <xdr:colOff>83820</xdr:colOff>
      <xdr:row>807</xdr:row>
      <xdr:rowOff>114300</xdr:rowOff>
    </xdr:to>
    <xdr:sp macro="" textlink="">
      <xdr:nvSpPr>
        <xdr:cNvPr id="6156" name="Arrow: Down 6155">
          <a:extLst>
            <a:ext uri="{FF2B5EF4-FFF2-40B4-BE49-F238E27FC236}">
              <a16:creationId xmlns:a16="http://schemas.microsoft.com/office/drawing/2014/main" id="{95FF8279-DEBA-4A10-94B3-6105A650746C}"/>
            </a:ext>
          </a:extLst>
        </xdr:cNvPr>
        <xdr:cNvSpPr/>
      </xdr:nvSpPr>
      <xdr:spPr>
        <a:xfrm rot="10800000">
          <a:off x="19392900" y="147500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807</xdr:row>
      <xdr:rowOff>0</xdr:rowOff>
    </xdr:from>
    <xdr:to>
      <xdr:col>60</xdr:col>
      <xdr:colOff>83820</xdr:colOff>
      <xdr:row>807</xdr:row>
      <xdr:rowOff>114300</xdr:rowOff>
    </xdr:to>
    <xdr:sp macro="" textlink="">
      <xdr:nvSpPr>
        <xdr:cNvPr id="6159" name="Arrow: Down 6158">
          <a:extLst>
            <a:ext uri="{FF2B5EF4-FFF2-40B4-BE49-F238E27FC236}">
              <a16:creationId xmlns:a16="http://schemas.microsoft.com/office/drawing/2014/main" id="{7496AEDB-BF9A-46E8-B4DC-D696F4B9ED1D}"/>
            </a:ext>
          </a:extLst>
        </xdr:cNvPr>
        <xdr:cNvSpPr/>
      </xdr:nvSpPr>
      <xdr:spPr>
        <a:xfrm>
          <a:off x="19126200" y="1475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807</xdr:row>
      <xdr:rowOff>0</xdr:rowOff>
    </xdr:from>
    <xdr:to>
      <xdr:col>71</xdr:col>
      <xdr:colOff>83820</xdr:colOff>
      <xdr:row>807</xdr:row>
      <xdr:rowOff>114300</xdr:rowOff>
    </xdr:to>
    <xdr:sp macro="" textlink="">
      <xdr:nvSpPr>
        <xdr:cNvPr id="6160" name="Arrow: Down 6159">
          <a:extLst>
            <a:ext uri="{FF2B5EF4-FFF2-40B4-BE49-F238E27FC236}">
              <a16:creationId xmlns:a16="http://schemas.microsoft.com/office/drawing/2014/main" id="{8A481272-82AD-41EA-A350-6AF311E21DEC}"/>
            </a:ext>
          </a:extLst>
        </xdr:cNvPr>
        <xdr:cNvSpPr/>
      </xdr:nvSpPr>
      <xdr:spPr>
        <a:xfrm>
          <a:off x="22006560" y="1475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808</xdr:row>
      <xdr:rowOff>0</xdr:rowOff>
    </xdr:from>
    <xdr:to>
      <xdr:col>64</xdr:col>
      <xdr:colOff>83820</xdr:colOff>
      <xdr:row>808</xdr:row>
      <xdr:rowOff>114300</xdr:rowOff>
    </xdr:to>
    <xdr:sp macro="" textlink="">
      <xdr:nvSpPr>
        <xdr:cNvPr id="6173" name="Arrow: Down 6172">
          <a:extLst>
            <a:ext uri="{FF2B5EF4-FFF2-40B4-BE49-F238E27FC236}">
              <a16:creationId xmlns:a16="http://schemas.microsoft.com/office/drawing/2014/main" id="{B8F3DD91-4671-4FD0-A4F6-6A97B33B618A}"/>
            </a:ext>
          </a:extLst>
        </xdr:cNvPr>
        <xdr:cNvSpPr/>
      </xdr:nvSpPr>
      <xdr:spPr>
        <a:xfrm rot="10800000">
          <a:off x="19392900" y="147683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808</xdr:row>
      <xdr:rowOff>0</xdr:rowOff>
    </xdr:from>
    <xdr:to>
      <xdr:col>24</xdr:col>
      <xdr:colOff>83820</xdr:colOff>
      <xdr:row>808</xdr:row>
      <xdr:rowOff>114300</xdr:rowOff>
    </xdr:to>
    <xdr:sp macro="" textlink="">
      <xdr:nvSpPr>
        <xdr:cNvPr id="6174" name="Arrow: Down 6173">
          <a:extLst>
            <a:ext uri="{FF2B5EF4-FFF2-40B4-BE49-F238E27FC236}">
              <a16:creationId xmlns:a16="http://schemas.microsoft.com/office/drawing/2014/main" id="{481A4A7D-ED84-4692-AFF0-BF4D67290D55}"/>
            </a:ext>
          </a:extLst>
        </xdr:cNvPr>
        <xdr:cNvSpPr/>
      </xdr:nvSpPr>
      <xdr:spPr>
        <a:xfrm>
          <a:off x="8336280" y="1476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808</xdr:row>
      <xdr:rowOff>0</xdr:rowOff>
    </xdr:from>
    <xdr:to>
      <xdr:col>5</xdr:col>
      <xdr:colOff>83820</xdr:colOff>
      <xdr:row>808</xdr:row>
      <xdr:rowOff>114300</xdr:rowOff>
    </xdr:to>
    <xdr:sp macro="" textlink="">
      <xdr:nvSpPr>
        <xdr:cNvPr id="6177" name="Arrow: Down 6176">
          <a:extLst>
            <a:ext uri="{FF2B5EF4-FFF2-40B4-BE49-F238E27FC236}">
              <a16:creationId xmlns:a16="http://schemas.microsoft.com/office/drawing/2014/main" id="{A31E93CD-3311-49C6-B733-3F793E8A5102}"/>
            </a:ext>
          </a:extLst>
        </xdr:cNvPr>
        <xdr:cNvSpPr/>
      </xdr:nvSpPr>
      <xdr:spPr>
        <a:xfrm>
          <a:off x="1927860" y="1476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808</xdr:row>
      <xdr:rowOff>0</xdr:rowOff>
    </xdr:from>
    <xdr:to>
      <xdr:col>11</xdr:col>
      <xdr:colOff>83820</xdr:colOff>
      <xdr:row>808</xdr:row>
      <xdr:rowOff>114300</xdr:rowOff>
    </xdr:to>
    <xdr:sp macro="" textlink="">
      <xdr:nvSpPr>
        <xdr:cNvPr id="6178" name="Arrow: Down 6177">
          <a:extLst>
            <a:ext uri="{FF2B5EF4-FFF2-40B4-BE49-F238E27FC236}">
              <a16:creationId xmlns:a16="http://schemas.microsoft.com/office/drawing/2014/main" id="{DA77EFA7-88D5-4DDD-889C-08513545AA79}"/>
            </a:ext>
          </a:extLst>
        </xdr:cNvPr>
        <xdr:cNvSpPr/>
      </xdr:nvSpPr>
      <xdr:spPr>
        <a:xfrm>
          <a:off x="3695700" y="1476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809</xdr:row>
      <xdr:rowOff>0</xdr:rowOff>
    </xdr:from>
    <xdr:to>
      <xdr:col>64</xdr:col>
      <xdr:colOff>83820</xdr:colOff>
      <xdr:row>809</xdr:row>
      <xdr:rowOff>114300</xdr:rowOff>
    </xdr:to>
    <xdr:sp macro="" textlink="">
      <xdr:nvSpPr>
        <xdr:cNvPr id="6181" name="Arrow: Down 6180">
          <a:extLst>
            <a:ext uri="{FF2B5EF4-FFF2-40B4-BE49-F238E27FC236}">
              <a16:creationId xmlns:a16="http://schemas.microsoft.com/office/drawing/2014/main" id="{23C3AD90-5C2D-4754-AD7F-4A009B43AFAE}"/>
            </a:ext>
          </a:extLst>
        </xdr:cNvPr>
        <xdr:cNvSpPr/>
      </xdr:nvSpPr>
      <xdr:spPr>
        <a:xfrm rot="10800000">
          <a:off x="19392900" y="147866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809</xdr:row>
      <xdr:rowOff>0</xdr:rowOff>
    </xdr:from>
    <xdr:to>
      <xdr:col>24</xdr:col>
      <xdr:colOff>83820</xdr:colOff>
      <xdr:row>809</xdr:row>
      <xdr:rowOff>114300</xdr:rowOff>
    </xdr:to>
    <xdr:sp macro="" textlink="">
      <xdr:nvSpPr>
        <xdr:cNvPr id="6182" name="Arrow: Down 6181">
          <a:extLst>
            <a:ext uri="{FF2B5EF4-FFF2-40B4-BE49-F238E27FC236}">
              <a16:creationId xmlns:a16="http://schemas.microsoft.com/office/drawing/2014/main" id="{8DEB6DE6-E14B-428B-A18F-BD13BF7F6751}"/>
            </a:ext>
          </a:extLst>
        </xdr:cNvPr>
        <xdr:cNvSpPr/>
      </xdr:nvSpPr>
      <xdr:spPr>
        <a:xfrm>
          <a:off x="8336280" y="1478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809</xdr:row>
      <xdr:rowOff>0</xdr:rowOff>
    </xdr:from>
    <xdr:to>
      <xdr:col>5</xdr:col>
      <xdr:colOff>83820</xdr:colOff>
      <xdr:row>809</xdr:row>
      <xdr:rowOff>114300</xdr:rowOff>
    </xdr:to>
    <xdr:sp macro="" textlink="">
      <xdr:nvSpPr>
        <xdr:cNvPr id="6185" name="Arrow: Down 6184">
          <a:extLst>
            <a:ext uri="{FF2B5EF4-FFF2-40B4-BE49-F238E27FC236}">
              <a16:creationId xmlns:a16="http://schemas.microsoft.com/office/drawing/2014/main" id="{67F67CE0-51FD-44AE-B63C-CA0F7EE72BA8}"/>
            </a:ext>
          </a:extLst>
        </xdr:cNvPr>
        <xdr:cNvSpPr/>
      </xdr:nvSpPr>
      <xdr:spPr>
        <a:xfrm>
          <a:off x="1927860" y="1478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809</xdr:row>
      <xdr:rowOff>0</xdr:rowOff>
    </xdr:from>
    <xdr:to>
      <xdr:col>11</xdr:col>
      <xdr:colOff>83820</xdr:colOff>
      <xdr:row>809</xdr:row>
      <xdr:rowOff>114300</xdr:rowOff>
    </xdr:to>
    <xdr:sp macro="" textlink="">
      <xdr:nvSpPr>
        <xdr:cNvPr id="6186" name="Arrow: Down 6185">
          <a:extLst>
            <a:ext uri="{FF2B5EF4-FFF2-40B4-BE49-F238E27FC236}">
              <a16:creationId xmlns:a16="http://schemas.microsoft.com/office/drawing/2014/main" id="{940095AE-D15C-4204-AA9D-44D0F9E1D8FA}"/>
            </a:ext>
          </a:extLst>
        </xdr:cNvPr>
        <xdr:cNvSpPr/>
      </xdr:nvSpPr>
      <xdr:spPr>
        <a:xfrm>
          <a:off x="3695700" y="1478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809</xdr:row>
      <xdr:rowOff>0</xdr:rowOff>
    </xdr:from>
    <xdr:to>
      <xdr:col>39</xdr:col>
      <xdr:colOff>83820</xdr:colOff>
      <xdr:row>809</xdr:row>
      <xdr:rowOff>114300</xdr:rowOff>
    </xdr:to>
    <xdr:sp macro="" textlink="">
      <xdr:nvSpPr>
        <xdr:cNvPr id="6187" name="Arrow: Down 6186">
          <a:extLst>
            <a:ext uri="{FF2B5EF4-FFF2-40B4-BE49-F238E27FC236}">
              <a16:creationId xmlns:a16="http://schemas.microsoft.com/office/drawing/2014/main" id="{AB45B964-B2EC-4A03-A0E1-FF56E6EBB26C}"/>
            </a:ext>
          </a:extLst>
        </xdr:cNvPr>
        <xdr:cNvSpPr/>
      </xdr:nvSpPr>
      <xdr:spPr>
        <a:xfrm rot="10800000">
          <a:off x="11544300" y="147866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809</xdr:row>
      <xdr:rowOff>0</xdr:rowOff>
    </xdr:from>
    <xdr:to>
      <xdr:col>45</xdr:col>
      <xdr:colOff>83820</xdr:colOff>
      <xdr:row>809</xdr:row>
      <xdr:rowOff>114300</xdr:rowOff>
    </xdr:to>
    <xdr:sp macro="" textlink="">
      <xdr:nvSpPr>
        <xdr:cNvPr id="6188" name="Arrow: Down 6187">
          <a:extLst>
            <a:ext uri="{FF2B5EF4-FFF2-40B4-BE49-F238E27FC236}">
              <a16:creationId xmlns:a16="http://schemas.microsoft.com/office/drawing/2014/main" id="{A543157C-AD7E-4A92-B9CC-B43F0DF4129A}"/>
            </a:ext>
          </a:extLst>
        </xdr:cNvPr>
        <xdr:cNvSpPr/>
      </xdr:nvSpPr>
      <xdr:spPr>
        <a:xfrm rot="10800000">
          <a:off x="13403580" y="147866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810</xdr:row>
      <xdr:rowOff>0</xdr:rowOff>
    </xdr:from>
    <xdr:to>
      <xdr:col>64</xdr:col>
      <xdr:colOff>83820</xdr:colOff>
      <xdr:row>810</xdr:row>
      <xdr:rowOff>114300</xdr:rowOff>
    </xdr:to>
    <xdr:sp macro="" textlink="">
      <xdr:nvSpPr>
        <xdr:cNvPr id="6189" name="Arrow: Down 6188">
          <a:extLst>
            <a:ext uri="{FF2B5EF4-FFF2-40B4-BE49-F238E27FC236}">
              <a16:creationId xmlns:a16="http://schemas.microsoft.com/office/drawing/2014/main" id="{63877656-D231-4C21-9321-F494E4EB9876}"/>
            </a:ext>
          </a:extLst>
        </xdr:cNvPr>
        <xdr:cNvSpPr/>
      </xdr:nvSpPr>
      <xdr:spPr>
        <a:xfrm rot="10800000">
          <a:off x="19392900" y="148048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810</xdr:row>
      <xdr:rowOff>0</xdr:rowOff>
    </xdr:from>
    <xdr:to>
      <xdr:col>24</xdr:col>
      <xdr:colOff>83820</xdr:colOff>
      <xdr:row>810</xdr:row>
      <xdr:rowOff>114300</xdr:rowOff>
    </xdr:to>
    <xdr:sp macro="" textlink="">
      <xdr:nvSpPr>
        <xdr:cNvPr id="6190" name="Arrow: Down 6189">
          <a:extLst>
            <a:ext uri="{FF2B5EF4-FFF2-40B4-BE49-F238E27FC236}">
              <a16:creationId xmlns:a16="http://schemas.microsoft.com/office/drawing/2014/main" id="{E7953E89-8DCE-4D1E-A91E-F7ABB5CC6AA8}"/>
            </a:ext>
          </a:extLst>
        </xdr:cNvPr>
        <xdr:cNvSpPr/>
      </xdr:nvSpPr>
      <xdr:spPr>
        <a:xfrm>
          <a:off x="8336280" y="1480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810</xdr:row>
      <xdr:rowOff>0</xdr:rowOff>
    </xdr:from>
    <xdr:to>
      <xdr:col>60</xdr:col>
      <xdr:colOff>83820</xdr:colOff>
      <xdr:row>810</xdr:row>
      <xdr:rowOff>114300</xdr:rowOff>
    </xdr:to>
    <xdr:sp macro="" textlink="">
      <xdr:nvSpPr>
        <xdr:cNvPr id="6191" name="Arrow: Down 6190">
          <a:extLst>
            <a:ext uri="{FF2B5EF4-FFF2-40B4-BE49-F238E27FC236}">
              <a16:creationId xmlns:a16="http://schemas.microsoft.com/office/drawing/2014/main" id="{0CD1D7A1-EB36-49A3-8391-AE3A92950E8E}"/>
            </a:ext>
          </a:extLst>
        </xdr:cNvPr>
        <xdr:cNvSpPr/>
      </xdr:nvSpPr>
      <xdr:spPr>
        <a:xfrm>
          <a:off x="19126200" y="1480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810</xdr:row>
      <xdr:rowOff>0</xdr:rowOff>
    </xdr:from>
    <xdr:to>
      <xdr:col>71</xdr:col>
      <xdr:colOff>83820</xdr:colOff>
      <xdr:row>810</xdr:row>
      <xdr:rowOff>114300</xdr:rowOff>
    </xdr:to>
    <xdr:sp macro="" textlink="">
      <xdr:nvSpPr>
        <xdr:cNvPr id="6192" name="Arrow: Down 6191">
          <a:extLst>
            <a:ext uri="{FF2B5EF4-FFF2-40B4-BE49-F238E27FC236}">
              <a16:creationId xmlns:a16="http://schemas.microsoft.com/office/drawing/2014/main" id="{714EB233-DD80-49A2-8B95-63B7249C2E3B}"/>
            </a:ext>
          </a:extLst>
        </xdr:cNvPr>
        <xdr:cNvSpPr/>
      </xdr:nvSpPr>
      <xdr:spPr>
        <a:xfrm>
          <a:off x="22006560" y="1480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811</xdr:row>
      <xdr:rowOff>0</xdr:rowOff>
    </xdr:from>
    <xdr:to>
      <xdr:col>64</xdr:col>
      <xdr:colOff>83820</xdr:colOff>
      <xdr:row>811</xdr:row>
      <xdr:rowOff>114300</xdr:rowOff>
    </xdr:to>
    <xdr:sp macro="" textlink="">
      <xdr:nvSpPr>
        <xdr:cNvPr id="6197" name="Arrow: Down 6196">
          <a:extLst>
            <a:ext uri="{FF2B5EF4-FFF2-40B4-BE49-F238E27FC236}">
              <a16:creationId xmlns:a16="http://schemas.microsoft.com/office/drawing/2014/main" id="{6056F8A9-C2EF-4554-86C3-BB2EF8D75425}"/>
            </a:ext>
          </a:extLst>
        </xdr:cNvPr>
        <xdr:cNvSpPr/>
      </xdr:nvSpPr>
      <xdr:spPr>
        <a:xfrm rot="10800000">
          <a:off x="19392900" y="148231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811</xdr:row>
      <xdr:rowOff>0</xdr:rowOff>
    </xdr:from>
    <xdr:to>
      <xdr:col>60</xdr:col>
      <xdr:colOff>83820</xdr:colOff>
      <xdr:row>811</xdr:row>
      <xdr:rowOff>114300</xdr:rowOff>
    </xdr:to>
    <xdr:sp macro="" textlink="">
      <xdr:nvSpPr>
        <xdr:cNvPr id="6199" name="Arrow: Down 6198">
          <a:extLst>
            <a:ext uri="{FF2B5EF4-FFF2-40B4-BE49-F238E27FC236}">
              <a16:creationId xmlns:a16="http://schemas.microsoft.com/office/drawing/2014/main" id="{7C385B66-4C44-4E45-8384-367FBA427D0B}"/>
            </a:ext>
          </a:extLst>
        </xdr:cNvPr>
        <xdr:cNvSpPr/>
      </xdr:nvSpPr>
      <xdr:spPr>
        <a:xfrm>
          <a:off x="19126200" y="1482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811</xdr:row>
      <xdr:rowOff>0</xdr:rowOff>
    </xdr:from>
    <xdr:to>
      <xdr:col>71</xdr:col>
      <xdr:colOff>83820</xdr:colOff>
      <xdr:row>811</xdr:row>
      <xdr:rowOff>114300</xdr:rowOff>
    </xdr:to>
    <xdr:sp macro="" textlink="">
      <xdr:nvSpPr>
        <xdr:cNvPr id="6200" name="Arrow: Down 6199">
          <a:extLst>
            <a:ext uri="{FF2B5EF4-FFF2-40B4-BE49-F238E27FC236}">
              <a16:creationId xmlns:a16="http://schemas.microsoft.com/office/drawing/2014/main" id="{79C64085-0B53-4412-8F6A-A706499ED4F4}"/>
            </a:ext>
          </a:extLst>
        </xdr:cNvPr>
        <xdr:cNvSpPr/>
      </xdr:nvSpPr>
      <xdr:spPr>
        <a:xfrm>
          <a:off x="22006560" y="1482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811</xdr:row>
      <xdr:rowOff>0</xdr:rowOff>
    </xdr:from>
    <xdr:to>
      <xdr:col>39</xdr:col>
      <xdr:colOff>83820</xdr:colOff>
      <xdr:row>811</xdr:row>
      <xdr:rowOff>114300</xdr:rowOff>
    </xdr:to>
    <xdr:sp macro="" textlink="">
      <xdr:nvSpPr>
        <xdr:cNvPr id="6203" name="Arrow: Down 6202">
          <a:extLst>
            <a:ext uri="{FF2B5EF4-FFF2-40B4-BE49-F238E27FC236}">
              <a16:creationId xmlns:a16="http://schemas.microsoft.com/office/drawing/2014/main" id="{66E4D623-DD7D-49C7-8035-0B7A40D85484}"/>
            </a:ext>
          </a:extLst>
        </xdr:cNvPr>
        <xdr:cNvSpPr/>
      </xdr:nvSpPr>
      <xdr:spPr>
        <a:xfrm rot="10800000">
          <a:off x="11544300" y="148231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811</xdr:row>
      <xdr:rowOff>0</xdr:rowOff>
    </xdr:from>
    <xdr:to>
      <xdr:col>45</xdr:col>
      <xdr:colOff>83820</xdr:colOff>
      <xdr:row>811</xdr:row>
      <xdr:rowOff>114300</xdr:rowOff>
    </xdr:to>
    <xdr:sp macro="" textlink="">
      <xdr:nvSpPr>
        <xdr:cNvPr id="6204" name="Arrow: Down 6203">
          <a:extLst>
            <a:ext uri="{FF2B5EF4-FFF2-40B4-BE49-F238E27FC236}">
              <a16:creationId xmlns:a16="http://schemas.microsoft.com/office/drawing/2014/main" id="{7365A1B5-B90C-48D6-9AEE-0698AE19D931}"/>
            </a:ext>
          </a:extLst>
        </xdr:cNvPr>
        <xdr:cNvSpPr/>
      </xdr:nvSpPr>
      <xdr:spPr>
        <a:xfrm rot="10800000">
          <a:off x="13403580" y="148231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812</xdr:row>
      <xdr:rowOff>0</xdr:rowOff>
    </xdr:from>
    <xdr:to>
      <xdr:col>64</xdr:col>
      <xdr:colOff>83820</xdr:colOff>
      <xdr:row>812</xdr:row>
      <xdr:rowOff>114300</xdr:rowOff>
    </xdr:to>
    <xdr:sp macro="" textlink="">
      <xdr:nvSpPr>
        <xdr:cNvPr id="6213" name="Arrow: Down 6212">
          <a:extLst>
            <a:ext uri="{FF2B5EF4-FFF2-40B4-BE49-F238E27FC236}">
              <a16:creationId xmlns:a16="http://schemas.microsoft.com/office/drawing/2014/main" id="{7E03C1CA-5ED4-4525-950B-F502C6E32265}"/>
            </a:ext>
          </a:extLst>
        </xdr:cNvPr>
        <xdr:cNvSpPr/>
      </xdr:nvSpPr>
      <xdr:spPr>
        <a:xfrm rot="10800000">
          <a:off x="19392900" y="148414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813</xdr:row>
      <xdr:rowOff>0</xdr:rowOff>
    </xdr:from>
    <xdr:to>
      <xdr:col>64</xdr:col>
      <xdr:colOff>83820</xdr:colOff>
      <xdr:row>813</xdr:row>
      <xdr:rowOff>114300</xdr:rowOff>
    </xdr:to>
    <xdr:sp macro="" textlink="">
      <xdr:nvSpPr>
        <xdr:cNvPr id="6221" name="Arrow: Down 6220">
          <a:extLst>
            <a:ext uri="{FF2B5EF4-FFF2-40B4-BE49-F238E27FC236}">
              <a16:creationId xmlns:a16="http://schemas.microsoft.com/office/drawing/2014/main" id="{48C75894-21AF-4E68-9BAD-2659EB7309B2}"/>
            </a:ext>
          </a:extLst>
        </xdr:cNvPr>
        <xdr:cNvSpPr/>
      </xdr:nvSpPr>
      <xdr:spPr>
        <a:xfrm rot="10800000">
          <a:off x="19392900" y="148597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813</xdr:row>
      <xdr:rowOff>0</xdr:rowOff>
    </xdr:from>
    <xdr:to>
      <xdr:col>24</xdr:col>
      <xdr:colOff>83820</xdr:colOff>
      <xdr:row>813</xdr:row>
      <xdr:rowOff>114300</xdr:rowOff>
    </xdr:to>
    <xdr:sp macro="" textlink="">
      <xdr:nvSpPr>
        <xdr:cNvPr id="6222" name="Arrow: Down 6221">
          <a:extLst>
            <a:ext uri="{FF2B5EF4-FFF2-40B4-BE49-F238E27FC236}">
              <a16:creationId xmlns:a16="http://schemas.microsoft.com/office/drawing/2014/main" id="{B05600FC-C9C6-4E26-94C5-2BD684A2F44F}"/>
            </a:ext>
          </a:extLst>
        </xdr:cNvPr>
        <xdr:cNvSpPr/>
      </xdr:nvSpPr>
      <xdr:spPr>
        <a:xfrm>
          <a:off x="833628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813</xdr:row>
      <xdr:rowOff>0</xdr:rowOff>
    </xdr:from>
    <xdr:to>
      <xdr:col>60</xdr:col>
      <xdr:colOff>83820</xdr:colOff>
      <xdr:row>813</xdr:row>
      <xdr:rowOff>114300</xdr:rowOff>
    </xdr:to>
    <xdr:sp macro="" textlink="">
      <xdr:nvSpPr>
        <xdr:cNvPr id="6223" name="Arrow: Down 6222">
          <a:extLst>
            <a:ext uri="{FF2B5EF4-FFF2-40B4-BE49-F238E27FC236}">
              <a16:creationId xmlns:a16="http://schemas.microsoft.com/office/drawing/2014/main" id="{160434CD-E459-4CC5-88ED-09821ADEA5B4}"/>
            </a:ext>
          </a:extLst>
        </xdr:cNvPr>
        <xdr:cNvSpPr/>
      </xdr:nvSpPr>
      <xdr:spPr>
        <a:xfrm>
          <a:off x="1912620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813</xdr:row>
      <xdr:rowOff>0</xdr:rowOff>
    </xdr:from>
    <xdr:to>
      <xdr:col>71</xdr:col>
      <xdr:colOff>83820</xdr:colOff>
      <xdr:row>813</xdr:row>
      <xdr:rowOff>114300</xdr:rowOff>
    </xdr:to>
    <xdr:sp macro="" textlink="">
      <xdr:nvSpPr>
        <xdr:cNvPr id="6224" name="Arrow: Down 6223">
          <a:extLst>
            <a:ext uri="{FF2B5EF4-FFF2-40B4-BE49-F238E27FC236}">
              <a16:creationId xmlns:a16="http://schemas.microsoft.com/office/drawing/2014/main" id="{BD3D269F-647F-4932-B6CF-EC28D9A5DBFB}"/>
            </a:ext>
          </a:extLst>
        </xdr:cNvPr>
        <xdr:cNvSpPr/>
      </xdr:nvSpPr>
      <xdr:spPr>
        <a:xfrm>
          <a:off x="2200656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813</xdr:row>
      <xdr:rowOff>0</xdr:rowOff>
    </xdr:from>
    <xdr:to>
      <xdr:col>5</xdr:col>
      <xdr:colOff>83820</xdr:colOff>
      <xdr:row>813</xdr:row>
      <xdr:rowOff>114300</xdr:rowOff>
    </xdr:to>
    <xdr:sp macro="" textlink="">
      <xdr:nvSpPr>
        <xdr:cNvPr id="6225" name="Arrow: Down 6224">
          <a:extLst>
            <a:ext uri="{FF2B5EF4-FFF2-40B4-BE49-F238E27FC236}">
              <a16:creationId xmlns:a16="http://schemas.microsoft.com/office/drawing/2014/main" id="{A46234C4-4311-4C7E-A6BC-7817384367A4}"/>
            </a:ext>
          </a:extLst>
        </xdr:cNvPr>
        <xdr:cNvSpPr/>
      </xdr:nvSpPr>
      <xdr:spPr>
        <a:xfrm>
          <a:off x="192786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813</xdr:row>
      <xdr:rowOff>0</xdr:rowOff>
    </xdr:from>
    <xdr:to>
      <xdr:col>11</xdr:col>
      <xdr:colOff>83820</xdr:colOff>
      <xdr:row>813</xdr:row>
      <xdr:rowOff>114300</xdr:rowOff>
    </xdr:to>
    <xdr:sp macro="" textlink="">
      <xdr:nvSpPr>
        <xdr:cNvPr id="6226" name="Arrow: Down 6225">
          <a:extLst>
            <a:ext uri="{FF2B5EF4-FFF2-40B4-BE49-F238E27FC236}">
              <a16:creationId xmlns:a16="http://schemas.microsoft.com/office/drawing/2014/main" id="{5E1D95B5-CC33-4E59-BE45-E67550BA6D0C}"/>
            </a:ext>
          </a:extLst>
        </xdr:cNvPr>
        <xdr:cNvSpPr/>
      </xdr:nvSpPr>
      <xdr:spPr>
        <a:xfrm>
          <a:off x="369570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813</xdr:row>
      <xdr:rowOff>0</xdr:rowOff>
    </xdr:from>
    <xdr:to>
      <xdr:col>39</xdr:col>
      <xdr:colOff>83820</xdr:colOff>
      <xdr:row>813</xdr:row>
      <xdr:rowOff>114300</xdr:rowOff>
    </xdr:to>
    <xdr:sp macro="" textlink="">
      <xdr:nvSpPr>
        <xdr:cNvPr id="6227" name="Arrow: Down 6226">
          <a:extLst>
            <a:ext uri="{FF2B5EF4-FFF2-40B4-BE49-F238E27FC236}">
              <a16:creationId xmlns:a16="http://schemas.microsoft.com/office/drawing/2014/main" id="{5B16920D-90CE-411E-98D9-01848616907B}"/>
            </a:ext>
          </a:extLst>
        </xdr:cNvPr>
        <xdr:cNvSpPr/>
      </xdr:nvSpPr>
      <xdr:spPr>
        <a:xfrm rot="10800000">
          <a:off x="11544300" y="148597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813</xdr:row>
      <xdr:rowOff>0</xdr:rowOff>
    </xdr:from>
    <xdr:to>
      <xdr:col>45</xdr:col>
      <xdr:colOff>83820</xdr:colOff>
      <xdr:row>813</xdr:row>
      <xdr:rowOff>114300</xdr:rowOff>
    </xdr:to>
    <xdr:sp macro="" textlink="">
      <xdr:nvSpPr>
        <xdr:cNvPr id="6228" name="Arrow: Down 6227">
          <a:extLst>
            <a:ext uri="{FF2B5EF4-FFF2-40B4-BE49-F238E27FC236}">
              <a16:creationId xmlns:a16="http://schemas.microsoft.com/office/drawing/2014/main" id="{F60CDFD1-117D-4264-A164-EDC21E4CE8D0}"/>
            </a:ext>
          </a:extLst>
        </xdr:cNvPr>
        <xdr:cNvSpPr/>
      </xdr:nvSpPr>
      <xdr:spPr>
        <a:xfrm rot="10800000">
          <a:off x="13403580" y="148597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814</xdr:row>
      <xdr:rowOff>0</xdr:rowOff>
    </xdr:from>
    <xdr:to>
      <xdr:col>64</xdr:col>
      <xdr:colOff>83820</xdr:colOff>
      <xdr:row>814</xdr:row>
      <xdr:rowOff>114300</xdr:rowOff>
    </xdr:to>
    <xdr:sp macro="" textlink="">
      <xdr:nvSpPr>
        <xdr:cNvPr id="6229" name="Arrow: Down 6228">
          <a:extLst>
            <a:ext uri="{FF2B5EF4-FFF2-40B4-BE49-F238E27FC236}">
              <a16:creationId xmlns:a16="http://schemas.microsoft.com/office/drawing/2014/main" id="{69F4ACF5-92EB-465B-AC09-A540B6A384FA}"/>
            </a:ext>
          </a:extLst>
        </xdr:cNvPr>
        <xdr:cNvSpPr/>
      </xdr:nvSpPr>
      <xdr:spPr>
        <a:xfrm rot="10800000">
          <a:off x="19392900" y="148780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815</xdr:row>
      <xdr:rowOff>0</xdr:rowOff>
    </xdr:from>
    <xdr:to>
      <xdr:col>64</xdr:col>
      <xdr:colOff>83820</xdr:colOff>
      <xdr:row>815</xdr:row>
      <xdr:rowOff>114300</xdr:rowOff>
    </xdr:to>
    <xdr:sp macro="" textlink="">
      <xdr:nvSpPr>
        <xdr:cNvPr id="6237" name="Arrow: Down 6236">
          <a:extLst>
            <a:ext uri="{FF2B5EF4-FFF2-40B4-BE49-F238E27FC236}">
              <a16:creationId xmlns:a16="http://schemas.microsoft.com/office/drawing/2014/main" id="{FD2288BD-0ABA-4BDE-985C-ED994209E081}"/>
            </a:ext>
          </a:extLst>
        </xdr:cNvPr>
        <xdr:cNvSpPr/>
      </xdr:nvSpPr>
      <xdr:spPr>
        <a:xfrm rot="10800000">
          <a:off x="19392900" y="148963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815</xdr:row>
      <xdr:rowOff>0</xdr:rowOff>
    </xdr:from>
    <xdr:to>
      <xdr:col>24</xdr:col>
      <xdr:colOff>83820</xdr:colOff>
      <xdr:row>815</xdr:row>
      <xdr:rowOff>114300</xdr:rowOff>
    </xdr:to>
    <xdr:sp macro="" textlink="">
      <xdr:nvSpPr>
        <xdr:cNvPr id="6238" name="Arrow: Down 6237">
          <a:extLst>
            <a:ext uri="{FF2B5EF4-FFF2-40B4-BE49-F238E27FC236}">
              <a16:creationId xmlns:a16="http://schemas.microsoft.com/office/drawing/2014/main" id="{72DE3383-35DE-4CC4-B618-2509B8AB7127}"/>
            </a:ext>
          </a:extLst>
        </xdr:cNvPr>
        <xdr:cNvSpPr/>
      </xdr:nvSpPr>
      <xdr:spPr>
        <a:xfrm>
          <a:off x="8336280" y="1489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815</xdr:row>
      <xdr:rowOff>0</xdr:rowOff>
    </xdr:from>
    <xdr:to>
      <xdr:col>5</xdr:col>
      <xdr:colOff>83820</xdr:colOff>
      <xdr:row>815</xdr:row>
      <xdr:rowOff>114300</xdr:rowOff>
    </xdr:to>
    <xdr:sp macro="" textlink="">
      <xdr:nvSpPr>
        <xdr:cNvPr id="6241" name="Arrow: Down 6240">
          <a:extLst>
            <a:ext uri="{FF2B5EF4-FFF2-40B4-BE49-F238E27FC236}">
              <a16:creationId xmlns:a16="http://schemas.microsoft.com/office/drawing/2014/main" id="{70771F77-E7B0-40D5-92B9-F47287EB4D34}"/>
            </a:ext>
          </a:extLst>
        </xdr:cNvPr>
        <xdr:cNvSpPr/>
      </xdr:nvSpPr>
      <xdr:spPr>
        <a:xfrm>
          <a:off x="1927860" y="1489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815</xdr:row>
      <xdr:rowOff>0</xdr:rowOff>
    </xdr:from>
    <xdr:to>
      <xdr:col>11</xdr:col>
      <xdr:colOff>83820</xdr:colOff>
      <xdr:row>815</xdr:row>
      <xdr:rowOff>114300</xdr:rowOff>
    </xdr:to>
    <xdr:sp macro="" textlink="">
      <xdr:nvSpPr>
        <xdr:cNvPr id="6242" name="Arrow: Down 6241">
          <a:extLst>
            <a:ext uri="{FF2B5EF4-FFF2-40B4-BE49-F238E27FC236}">
              <a16:creationId xmlns:a16="http://schemas.microsoft.com/office/drawing/2014/main" id="{650C5DAA-3E1C-4CB6-A68F-3B3F510C456D}"/>
            </a:ext>
          </a:extLst>
        </xdr:cNvPr>
        <xdr:cNvSpPr/>
      </xdr:nvSpPr>
      <xdr:spPr>
        <a:xfrm>
          <a:off x="3695700" y="1489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816</xdr:row>
      <xdr:rowOff>0</xdr:rowOff>
    </xdr:from>
    <xdr:to>
      <xdr:col>64</xdr:col>
      <xdr:colOff>83820</xdr:colOff>
      <xdr:row>816</xdr:row>
      <xdr:rowOff>114300</xdr:rowOff>
    </xdr:to>
    <xdr:sp macro="" textlink="">
      <xdr:nvSpPr>
        <xdr:cNvPr id="6245" name="Arrow: Down 6244">
          <a:extLst>
            <a:ext uri="{FF2B5EF4-FFF2-40B4-BE49-F238E27FC236}">
              <a16:creationId xmlns:a16="http://schemas.microsoft.com/office/drawing/2014/main" id="{0B17F196-29C6-4E31-9804-C8676B552D8E}"/>
            </a:ext>
          </a:extLst>
        </xdr:cNvPr>
        <xdr:cNvSpPr/>
      </xdr:nvSpPr>
      <xdr:spPr>
        <a:xfrm rot="10800000">
          <a:off x="19392900" y="149146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816</xdr:row>
      <xdr:rowOff>0</xdr:rowOff>
    </xdr:from>
    <xdr:to>
      <xdr:col>24</xdr:col>
      <xdr:colOff>83820</xdr:colOff>
      <xdr:row>816</xdr:row>
      <xdr:rowOff>114300</xdr:rowOff>
    </xdr:to>
    <xdr:sp macro="" textlink="">
      <xdr:nvSpPr>
        <xdr:cNvPr id="6246" name="Arrow: Down 6245">
          <a:extLst>
            <a:ext uri="{FF2B5EF4-FFF2-40B4-BE49-F238E27FC236}">
              <a16:creationId xmlns:a16="http://schemas.microsoft.com/office/drawing/2014/main" id="{2DE12B55-9463-42E9-9FAA-4AE400BBEDB6}"/>
            </a:ext>
          </a:extLst>
        </xdr:cNvPr>
        <xdr:cNvSpPr/>
      </xdr:nvSpPr>
      <xdr:spPr>
        <a:xfrm>
          <a:off x="833628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816</xdr:row>
      <xdr:rowOff>0</xdr:rowOff>
    </xdr:from>
    <xdr:to>
      <xdr:col>60</xdr:col>
      <xdr:colOff>83820</xdr:colOff>
      <xdr:row>816</xdr:row>
      <xdr:rowOff>114300</xdr:rowOff>
    </xdr:to>
    <xdr:sp macro="" textlink="">
      <xdr:nvSpPr>
        <xdr:cNvPr id="6247" name="Arrow: Down 6246">
          <a:extLst>
            <a:ext uri="{FF2B5EF4-FFF2-40B4-BE49-F238E27FC236}">
              <a16:creationId xmlns:a16="http://schemas.microsoft.com/office/drawing/2014/main" id="{80112C64-2645-4F5B-90B3-EC9AC288BFAB}"/>
            </a:ext>
          </a:extLst>
        </xdr:cNvPr>
        <xdr:cNvSpPr/>
      </xdr:nvSpPr>
      <xdr:spPr>
        <a:xfrm>
          <a:off x="1912620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816</xdr:row>
      <xdr:rowOff>0</xdr:rowOff>
    </xdr:from>
    <xdr:to>
      <xdr:col>71</xdr:col>
      <xdr:colOff>83820</xdr:colOff>
      <xdr:row>816</xdr:row>
      <xdr:rowOff>114300</xdr:rowOff>
    </xdr:to>
    <xdr:sp macro="" textlink="">
      <xdr:nvSpPr>
        <xdr:cNvPr id="6248" name="Arrow: Down 6247">
          <a:extLst>
            <a:ext uri="{FF2B5EF4-FFF2-40B4-BE49-F238E27FC236}">
              <a16:creationId xmlns:a16="http://schemas.microsoft.com/office/drawing/2014/main" id="{745EE4DB-45F9-4F06-B106-87BA425D60E6}"/>
            </a:ext>
          </a:extLst>
        </xdr:cNvPr>
        <xdr:cNvSpPr/>
      </xdr:nvSpPr>
      <xdr:spPr>
        <a:xfrm>
          <a:off x="2200656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816</xdr:row>
      <xdr:rowOff>0</xdr:rowOff>
    </xdr:from>
    <xdr:to>
      <xdr:col>5</xdr:col>
      <xdr:colOff>83820</xdr:colOff>
      <xdr:row>816</xdr:row>
      <xdr:rowOff>114300</xdr:rowOff>
    </xdr:to>
    <xdr:sp macro="" textlink="">
      <xdr:nvSpPr>
        <xdr:cNvPr id="6249" name="Arrow: Down 6248">
          <a:extLst>
            <a:ext uri="{FF2B5EF4-FFF2-40B4-BE49-F238E27FC236}">
              <a16:creationId xmlns:a16="http://schemas.microsoft.com/office/drawing/2014/main" id="{B099D7DB-BABF-429F-9D78-3C24B4F65AD2}"/>
            </a:ext>
          </a:extLst>
        </xdr:cNvPr>
        <xdr:cNvSpPr/>
      </xdr:nvSpPr>
      <xdr:spPr>
        <a:xfrm>
          <a:off x="192786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816</xdr:row>
      <xdr:rowOff>0</xdr:rowOff>
    </xdr:from>
    <xdr:to>
      <xdr:col>11</xdr:col>
      <xdr:colOff>83820</xdr:colOff>
      <xdr:row>816</xdr:row>
      <xdr:rowOff>114300</xdr:rowOff>
    </xdr:to>
    <xdr:sp macro="" textlink="">
      <xdr:nvSpPr>
        <xdr:cNvPr id="6250" name="Arrow: Down 6249">
          <a:extLst>
            <a:ext uri="{FF2B5EF4-FFF2-40B4-BE49-F238E27FC236}">
              <a16:creationId xmlns:a16="http://schemas.microsoft.com/office/drawing/2014/main" id="{B8FB8A8A-7446-4A4F-8404-8FCDD895A7B1}"/>
            </a:ext>
          </a:extLst>
        </xdr:cNvPr>
        <xdr:cNvSpPr/>
      </xdr:nvSpPr>
      <xdr:spPr>
        <a:xfrm>
          <a:off x="369570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817</xdr:row>
      <xdr:rowOff>0</xdr:rowOff>
    </xdr:from>
    <xdr:to>
      <xdr:col>64</xdr:col>
      <xdr:colOff>83820</xdr:colOff>
      <xdr:row>817</xdr:row>
      <xdr:rowOff>114300</xdr:rowOff>
    </xdr:to>
    <xdr:sp macro="" textlink="">
      <xdr:nvSpPr>
        <xdr:cNvPr id="6253" name="Arrow: Down 6252">
          <a:extLst>
            <a:ext uri="{FF2B5EF4-FFF2-40B4-BE49-F238E27FC236}">
              <a16:creationId xmlns:a16="http://schemas.microsoft.com/office/drawing/2014/main" id="{19612141-DB93-4CF4-B333-FD565A19C9E6}"/>
            </a:ext>
          </a:extLst>
        </xdr:cNvPr>
        <xdr:cNvSpPr/>
      </xdr:nvSpPr>
      <xdr:spPr>
        <a:xfrm rot="10800000">
          <a:off x="19392900" y="149329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817</xdr:row>
      <xdr:rowOff>0</xdr:rowOff>
    </xdr:from>
    <xdr:to>
      <xdr:col>60</xdr:col>
      <xdr:colOff>83820</xdr:colOff>
      <xdr:row>817</xdr:row>
      <xdr:rowOff>114300</xdr:rowOff>
    </xdr:to>
    <xdr:sp macro="" textlink="">
      <xdr:nvSpPr>
        <xdr:cNvPr id="6255" name="Arrow: Down 6254">
          <a:extLst>
            <a:ext uri="{FF2B5EF4-FFF2-40B4-BE49-F238E27FC236}">
              <a16:creationId xmlns:a16="http://schemas.microsoft.com/office/drawing/2014/main" id="{2CF8D473-8690-4A4D-AE08-52EE425B8736}"/>
            </a:ext>
          </a:extLst>
        </xdr:cNvPr>
        <xdr:cNvSpPr/>
      </xdr:nvSpPr>
      <xdr:spPr>
        <a:xfrm>
          <a:off x="19126200" y="1493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817</xdr:row>
      <xdr:rowOff>0</xdr:rowOff>
    </xdr:from>
    <xdr:to>
      <xdr:col>71</xdr:col>
      <xdr:colOff>83820</xdr:colOff>
      <xdr:row>817</xdr:row>
      <xdr:rowOff>114300</xdr:rowOff>
    </xdr:to>
    <xdr:sp macro="" textlink="">
      <xdr:nvSpPr>
        <xdr:cNvPr id="6256" name="Arrow: Down 6255">
          <a:extLst>
            <a:ext uri="{FF2B5EF4-FFF2-40B4-BE49-F238E27FC236}">
              <a16:creationId xmlns:a16="http://schemas.microsoft.com/office/drawing/2014/main" id="{C754FAB6-437A-4A7A-A8DA-141E9A5C108D}"/>
            </a:ext>
          </a:extLst>
        </xdr:cNvPr>
        <xdr:cNvSpPr/>
      </xdr:nvSpPr>
      <xdr:spPr>
        <a:xfrm>
          <a:off x="22006560" y="1493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817</xdr:row>
      <xdr:rowOff>0</xdr:rowOff>
    </xdr:from>
    <xdr:to>
      <xdr:col>39</xdr:col>
      <xdr:colOff>83820</xdr:colOff>
      <xdr:row>817</xdr:row>
      <xdr:rowOff>114300</xdr:rowOff>
    </xdr:to>
    <xdr:sp macro="" textlink="">
      <xdr:nvSpPr>
        <xdr:cNvPr id="6259" name="Arrow: Down 6258">
          <a:extLst>
            <a:ext uri="{FF2B5EF4-FFF2-40B4-BE49-F238E27FC236}">
              <a16:creationId xmlns:a16="http://schemas.microsoft.com/office/drawing/2014/main" id="{52337A40-12A5-4B02-B6CA-227C9FDC5AE5}"/>
            </a:ext>
          </a:extLst>
        </xdr:cNvPr>
        <xdr:cNvSpPr/>
      </xdr:nvSpPr>
      <xdr:spPr>
        <a:xfrm rot="10800000">
          <a:off x="11544300" y="14932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817</xdr:row>
      <xdr:rowOff>0</xdr:rowOff>
    </xdr:from>
    <xdr:to>
      <xdr:col>45</xdr:col>
      <xdr:colOff>83820</xdr:colOff>
      <xdr:row>817</xdr:row>
      <xdr:rowOff>114300</xdr:rowOff>
    </xdr:to>
    <xdr:sp macro="" textlink="">
      <xdr:nvSpPr>
        <xdr:cNvPr id="6260" name="Arrow: Down 6259">
          <a:extLst>
            <a:ext uri="{FF2B5EF4-FFF2-40B4-BE49-F238E27FC236}">
              <a16:creationId xmlns:a16="http://schemas.microsoft.com/office/drawing/2014/main" id="{F521FD85-730B-43FD-B213-776E9B0033CF}"/>
            </a:ext>
          </a:extLst>
        </xdr:cNvPr>
        <xdr:cNvSpPr/>
      </xdr:nvSpPr>
      <xdr:spPr>
        <a:xfrm rot="10800000">
          <a:off x="13403580" y="14932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818</xdr:row>
      <xdr:rowOff>0</xdr:rowOff>
    </xdr:from>
    <xdr:to>
      <xdr:col>64</xdr:col>
      <xdr:colOff>83820</xdr:colOff>
      <xdr:row>818</xdr:row>
      <xdr:rowOff>114300</xdr:rowOff>
    </xdr:to>
    <xdr:sp macro="" textlink="">
      <xdr:nvSpPr>
        <xdr:cNvPr id="6261" name="Arrow: Down 6260">
          <a:extLst>
            <a:ext uri="{FF2B5EF4-FFF2-40B4-BE49-F238E27FC236}">
              <a16:creationId xmlns:a16="http://schemas.microsoft.com/office/drawing/2014/main" id="{190B3829-A04B-404C-868E-1189702844EA}"/>
            </a:ext>
          </a:extLst>
        </xdr:cNvPr>
        <xdr:cNvSpPr/>
      </xdr:nvSpPr>
      <xdr:spPr>
        <a:xfrm rot="10800000">
          <a:off x="19392900" y="149512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818</xdr:row>
      <xdr:rowOff>0</xdr:rowOff>
    </xdr:from>
    <xdr:to>
      <xdr:col>24</xdr:col>
      <xdr:colOff>83820</xdr:colOff>
      <xdr:row>818</xdr:row>
      <xdr:rowOff>114300</xdr:rowOff>
    </xdr:to>
    <xdr:sp macro="" textlink="">
      <xdr:nvSpPr>
        <xdr:cNvPr id="6262" name="Arrow: Down 6261">
          <a:extLst>
            <a:ext uri="{FF2B5EF4-FFF2-40B4-BE49-F238E27FC236}">
              <a16:creationId xmlns:a16="http://schemas.microsoft.com/office/drawing/2014/main" id="{D44C74E8-A4A7-4EF4-8D04-8E2A914EE040}"/>
            </a:ext>
          </a:extLst>
        </xdr:cNvPr>
        <xdr:cNvSpPr/>
      </xdr:nvSpPr>
      <xdr:spPr>
        <a:xfrm>
          <a:off x="8336280" y="1495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818</xdr:row>
      <xdr:rowOff>0</xdr:rowOff>
    </xdr:from>
    <xdr:to>
      <xdr:col>5</xdr:col>
      <xdr:colOff>83820</xdr:colOff>
      <xdr:row>818</xdr:row>
      <xdr:rowOff>114300</xdr:rowOff>
    </xdr:to>
    <xdr:sp macro="" textlink="">
      <xdr:nvSpPr>
        <xdr:cNvPr id="6265" name="Arrow: Down 6264">
          <a:extLst>
            <a:ext uri="{FF2B5EF4-FFF2-40B4-BE49-F238E27FC236}">
              <a16:creationId xmlns:a16="http://schemas.microsoft.com/office/drawing/2014/main" id="{6A839AFF-1D17-440F-8395-C9B1962162DF}"/>
            </a:ext>
          </a:extLst>
        </xdr:cNvPr>
        <xdr:cNvSpPr/>
      </xdr:nvSpPr>
      <xdr:spPr>
        <a:xfrm>
          <a:off x="1927860" y="1495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818</xdr:row>
      <xdr:rowOff>0</xdr:rowOff>
    </xdr:from>
    <xdr:to>
      <xdr:col>11</xdr:col>
      <xdr:colOff>83820</xdr:colOff>
      <xdr:row>818</xdr:row>
      <xdr:rowOff>114300</xdr:rowOff>
    </xdr:to>
    <xdr:sp macro="" textlink="">
      <xdr:nvSpPr>
        <xdr:cNvPr id="6266" name="Arrow: Down 6265">
          <a:extLst>
            <a:ext uri="{FF2B5EF4-FFF2-40B4-BE49-F238E27FC236}">
              <a16:creationId xmlns:a16="http://schemas.microsoft.com/office/drawing/2014/main" id="{6E125135-03FB-4692-90FD-4A54660ABAA6}"/>
            </a:ext>
          </a:extLst>
        </xdr:cNvPr>
        <xdr:cNvSpPr/>
      </xdr:nvSpPr>
      <xdr:spPr>
        <a:xfrm>
          <a:off x="3695700" y="1495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819</xdr:row>
      <xdr:rowOff>0</xdr:rowOff>
    </xdr:from>
    <xdr:to>
      <xdr:col>64</xdr:col>
      <xdr:colOff>83820</xdr:colOff>
      <xdr:row>819</xdr:row>
      <xdr:rowOff>114300</xdr:rowOff>
    </xdr:to>
    <xdr:sp macro="" textlink="">
      <xdr:nvSpPr>
        <xdr:cNvPr id="6277" name="Arrow: Down 6276">
          <a:extLst>
            <a:ext uri="{FF2B5EF4-FFF2-40B4-BE49-F238E27FC236}">
              <a16:creationId xmlns:a16="http://schemas.microsoft.com/office/drawing/2014/main" id="{A2C1EC2C-36F9-4F2A-A04F-C6DD3B38DB0A}"/>
            </a:ext>
          </a:extLst>
        </xdr:cNvPr>
        <xdr:cNvSpPr/>
      </xdr:nvSpPr>
      <xdr:spPr>
        <a:xfrm rot="10800000">
          <a:off x="19392900" y="149694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820</xdr:row>
      <xdr:rowOff>0</xdr:rowOff>
    </xdr:from>
    <xdr:to>
      <xdr:col>64</xdr:col>
      <xdr:colOff>83820</xdr:colOff>
      <xdr:row>820</xdr:row>
      <xdr:rowOff>114300</xdr:rowOff>
    </xdr:to>
    <xdr:sp macro="" textlink="">
      <xdr:nvSpPr>
        <xdr:cNvPr id="6285" name="Arrow: Down 6284">
          <a:extLst>
            <a:ext uri="{FF2B5EF4-FFF2-40B4-BE49-F238E27FC236}">
              <a16:creationId xmlns:a16="http://schemas.microsoft.com/office/drawing/2014/main" id="{29447392-AB45-4BF8-BDE9-11AE4B1B80F0}"/>
            </a:ext>
          </a:extLst>
        </xdr:cNvPr>
        <xdr:cNvSpPr/>
      </xdr:nvSpPr>
      <xdr:spPr>
        <a:xfrm rot="10800000">
          <a:off x="19392900" y="149877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820</xdr:row>
      <xdr:rowOff>0</xdr:rowOff>
    </xdr:from>
    <xdr:to>
      <xdr:col>24</xdr:col>
      <xdr:colOff>83820</xdr:colOff>
      <xdr:row>820</xdr:row>
      <xdr:rowOff>114300</xdr:rowOff>
    </xdr:to>
    <xdr:sp macro="" textlink="">
      <xdr:nvSpPr>
        <xdr:cNvPr id="6286" name="Arrow: Down 6285">
          <a:extLst>
            <a:ext uri="{FF2B5EF4-FFF2-40B4-BE49-F238E27FC236}">
              <a16:creationId xmlns:a16="http://schemas.microsoft.com/office/drawing/2014/main" id="{7CDDDCFF-061B-409D-B5DB-37291B0F9878}"/>
            </a:ext>
          </a:extLst>
        </xdr:cNvPr>
        <xdr:cNvSpPr/>
      </xdr:nvSpPr>
      <xdr:spPr>
        <a:xfrm>
          <a:off x="8336280" y="1498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820</xdr:row>
      <xdr:rowOff>0</xdr:rowOff>
    </xdr:from>
    <xdr:to>
      <xdr:col>60</xdr:col>
      <xdr:colOff>83820</xdr:colOff>
      <xdr:row>820</xdr:row>
      <xdr:rowOff>114300</xdr:rowOff>
    </xdr:to>
    <xdr:sp macro="" textlink="">
      <xdr:nvSpPr>
        <xdr:cNvPr id="6287" name="Arrow: Down 6286">
          <a:extLst>
            <a:ext uri="{FF2B5EF4-FFF2-40B4-BE49-F238E27FC236}">
              <a16:creationId xmlns:a16="http://schemas.microsoft.com/office/drawing/2014/main" id="{D94537AB-D042-49D9-BABA-9E3193508867}"/>
            </a:ext>
          </a:extLst>
        </xdr:cNvPr>
        <xdr:cNvSpPr/>
      </xdr:nvSpPr>
      <xdr:spPr>
        <a:xfrm>
          <a:off x="19126200" y="1498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820</xdr:row>
      <xdr:rowOff>0</xdr:rowOff>
    </xdr:from>
    <xdr:to>
      <xdr:col>71</xdr:col>
      <xdr:colOff>83820</xdr:colOff>
      <xdr:row>820</xdr:row>
      <xdr:rowOff>114300</xdr:rowOff>
    </xdr:to>
    <xdr:sp macro="" textlink="">
      <xdr:nvSpPr>
        <xdr:cNvPr id="6288" name="Arrow: Down 6287">
          <a:extLst>
            <a:ext uri="{FF2B5EF4-FFF2-40B4-BE49-F238E27FC236}">
              <a16:creationId xmlns:a16="http://schemas.microsoft.com/office/drawing/2014/main" id="{737A53BE-783F-42CE-AD6D-8864069AB123}"/>
            </a:ext>
          </a:extLst>
        </xdr:cNvPr>
        <xdr:cNvSpPr/>
      </xdr:nvSpPr>
      <xdr:spPr>
        <a:xfrm>
          <a:off x="22006560" y="1498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820</xdr:row>
      <xdr:rowOff>0</xdr:rowOff>
    </xdr:from>
    <xdr:to>
      <xdr:col>39</xdr:col>
      <xdr:colOff>83820</xdr:colOff>
      <xdr:row>820</xdr:row>
      <xdr:rowOff>114300</xdr:rowOff>
    </xdr:to>
    <xdr:sp macro="" textlink="">
      <xdr:nvSpPr>
        <xdr:cNvPr id="6291" name="Arrow: Down 6290">
          <a:extLst>
            <a:ext uri="{FF2B5EF4-FFF2-40B4-BE49-F238E27FC236}">
              <a16:creationId xmlns:a16="http://schemas.microsoft.com/office/drawing/2014/main" id="{D26A8644-8502-478F-999E-24FDB4B8D8CA}"/>
            </a:ext>
          </a:extLst>
        </xdr:cNvPr>
        <xdr:cNvSpPr/>
      </xdr:nvSpPr>
      <xdr:spPr>
        <a:xfrm rot="10800000">
          <a:off x="11544300" y="14987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820</xdr:row>
      <xdr:rowOff>0</xdr:rowOff>
    </xdr:from>
    <xdr:to>
      <xdr:col>45</xdr:col>
      <xdr:colOff>83820</xdr:colOff>
      <xdr:row>820</xdr:row>
      <xdr:rowOff>114300</xdr:rowOff>
    </xdr:to>
    <xdr:sp macro="" textlink="">
      <xdr:nvSpPr>
        <xdr:cNvPr id="6292" name="Arrow: Down 6291">
          <a:extLst>
            <a:ext uri="{FF2B5EF4-FFF2-40B4-BE49-F238E27FC236}">
              <a16:creationId xmlns:a16="http://schemas.microsoft.com/office/drawing/2014/main" id="{38C69C97-06F3-4516-ADF4-D6F732456D4F}"/>
            </a:ext>
          </a:extLst>
        </xdr:cNvPr>
        <xdr:cNvSpPr/>
      </xdr:nvSpPr>
      <xdr:spPr>
        <a:xfrm rot="10800000">
          <a:off x="13403580" y="14987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821</xdr:row>
      <xdr:rowOff>0</xdr:rowOff>
    </xdr:from>
    <xdr:to>
      <xdr:col>64</xdr:col>
      <xdr:colOff>83820</xdr:colOff>
      <xdr:row>821</xdr:row>
      <xdr:rowOff>114300</xdr:rowOff>
    </xdr:to>
    <xdr:sp macro="" textlink="">
      <xdr:nvSpPr>
        <xdr:cNvPr id="6293" name="Arrow: Down 6292">
          <a:extLst>
            <a:ext uri="{FF2B5EF4-FFF2-40B4-BE49-F238E27FC236}">
              <a16:creationId xmlns:a16="http://schemas.microsoft.com/office/drawing/2014/main" id="{7169D01B-F956-461E-A0AE-03EC3EDAFEF5}"/>
            </a:ext>
          </a:extLst>
        </xdr:cNvPr>
        <xdr:cNvSpPr/>
      </xdr:nvSpPr>
      <xdr:spPr>
        <a:xfrm rot="10800000">
          <a:off x="19392900" y="150060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821</xdr:row>
      <xdr:rowOff>0</xdr:rowOff>
    </xdr:from>
    <xdr:to>
      <xdr:col>24</xdr:col>
      <xdr:colOff>83820</xdr:colOff>
      <xdr:row>821</xdr:row>
      <xdr:rowOff>114300</xdr:rowOff>
    </xdr:to>
    <xdr:sp macro="" textlink="">
      <xdr:nvSpPr>
        <xdr:cNvPr id="6294" name="Arrow: Down 6293">
          <a:extLst>
            <a:ext uri="{FF2B5EF4-FFF2-40B4-BE49-F238E27FC236}">
              <a16:creationId xmlns:a16="http://schemas.microsoft.com/office/drawing/2014/main" id="{3375B885-CC1F-4B5D-98CE-9F6E9BF055DB}"/>
            </a:ext>
          </a:extLst>
        </xdr:cNvPr>
        <xdr:cNvSpPr/>
      </xdr:nvSpPr>
      <xdr:spPr>
        <a:xfrm>
          <a:off x="8336280" y="1500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821</xdr:row>
      <xdr:rowOff>0</xdr:rowOff>
    </xdr:from>
    <xdr:to>
      <xdr:col>5</xdr:col>
      <xdr:colOff>83820</xdr:colOff>
      <xdr:row>821</xdr:row>
      <xdr:rowOff>114300</xdr:rowOff>
    </xdr:to>
    <xdr:sp macro="" textlink="">
      <xdr:nvSpPr>
        <xdr:cNvPr id="6297" name="Arrow: Down 6296">
          <a:extLst>
            <a:ext uri="{FF2B5EF4-FFF2-40B4-BE49-F238E27FC236}">
              <a16:creationId xmlns:a16="http://schemas.microsoft.com/office/drawing/2014/main" id="{2C01B2F3-A146-450A-8C6F-DCA95ED54D62}"/>
            </a:ext>
          </a:extLst>
        </xdr:cNvPr>
        <xdr:cNvSpPr/>
      </xdr:nvSpPr>
      <xdr:spPr>
        <a:xfrm>
          <a:off x="1927860" y="1500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821</xdr:row>
      <xdr:rowOff>0</xdr:rowOff>
    </xdr:from>
    <xdr:to>
      <xdr:col>11</xdr:col>
      <xdr:colOff>83820</xdr:colOff>
      <xdr:row>821</xdr:row>
      <xdr:rowOff>114300</xdr:rowOff>
    </xdr:to>
    <xdr:sp macro="" textlink="">
      <xdr:nvSpPr>
        <xdr:cNvPr id="6298" name="Arrow: Down 6297">
          <a:extLst>
            <a:ext uri="{FF2B5EF4-FFF2-40B4-BE49-F238E27FC236}">
              <a16:creationId xmlns:a16="http://schemas.microsoft.com/office/drawing/2014/main" id="{459BC8AB-6E40-4BA7-90E5-07F7672B6C41}"/>
            </a:ext>
          </a:extLst>
        </xdr:cNvPr>
        <xdr:cNvSpPr/>
      </xdr:nvSpPr>
      <xdr:spPr>
        <a:xfrm>
          <a:off x="3695700" y="1500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821</xdr:row>
      <xdr:rowOff>0</xdr:rowOff>
    </xdr:from>
    <xdr:to>
      <xdr:col>39</xdr:col>
      <xdr:colOff>83820</xdr:colOff>
      <xdr:row>821</xdr:row>
      <xdr:rowOff>114300</xdr:rowOff>
    </xdr:to>
    <xdr:sp macro="" textlink="">
      <xdr:nvSpPr>
        <xdr:cNvPr id="6299" name="Arrow: Down 6298">
          <a:extLst>
            <a:ext uri="{FF2B5EF4-FFF2-40B4-BE49-F238E27FC236}">
              <a16:creationId xmlns:a16="http://schemas.microsoft.com/office/drawing/2014/main" id="{7353B7C7-CD26-42AE-BBCF-45E892A11254}"/>
            </a:ext>
          </a:extLst>
        </xdr:cNvPr>
        <xdr:cNvSpPr/>
      </xdr:nvSpPr>
      <xdr:spPr>
        <a:xfrm rot="10800000">
          <a:off x="11544300" y="15006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821</xdr:row>
      <xdr:rowOff>0</xdr:rowOff>
    </xdr:from>
    <xdr:to>
      <xdr:col>45</xdr:col>
      <xdr:colOff>83820</xdr:colOff>
      <xdr:row>821</xdr:row>
      <xdr:rowOff>114300</xdr:rowOff>
    </xdr:to>
    <xdr:sp macro="" textlink="">
      <xdr:nvSpPr>
        <xdr:cNvPr id="6300" name="Arrow: Down 6299">
          <a:extLst>
            <a:ext uri="{FF2B5EF4-FFF2-40B4-BE49-F238E27FC236}">
              <a16:creationId xmlns:a16="http://schemas.microsoft.com/office/drawing/2014/main" id="{6EB2967F-6DB7-41C8-B799-AEE28BAAB8FA}"/>
            </a:ext>
          </a:extLst>
        </xdr:cNvPr>
        <xdr:cNvSpPr/>
      </xdr:nvSpPr>
      <xdr:spPr>
        <a:xfrm rot="10800000">
          <a:off x="13403580" y="15006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822</xdr:row>
      <xdr:rowOff>0</xdr:rowOff>
    </xdr:from>
    <xdr:to>
      <xdr:col>64</xdr:col>
      <xdr:colOff>83820</xdr:colOff>
      <xdr:row>822</xdr:row>
      <xdr:rowOff>114300</xdr:rowOff>
    </xdr:to>
    <xdr:sp macro="" textlink="">
      <xdr:nvSpPr>
        <xdr:cNvPr id="6309" name="Arrow: Down 6308">
          <a:extLst>
            <a:ext uri="{FF2B5EF4-FFF2-40B4-BE49-F238E27FC236}">
              <a16:creationId xmlns:a16="http://schemas.microsoft.com/office/drawing/2014/main" id="{2D6BAF2E-A444-4DEE-A91B-6A29B803955B}"/>
            </a:ext>
          </a:extLst>
        </xdr:cNvPr>
        <xdr:cNvSpPr/>
      </xdr:nvSpPr>
      <xdr:spPr>
        <a:xfrm rot="10800000">
          <a:off x="19392900" y="150243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822</xdr:row>
      <xdr:rowOff>0</xdr:rowOff>
    </xdr:from>
    <xdr:to>
      <xdr:col>24</xdr:col>
      <xdr:colOff>83820</xdr:colOff>
      <xdr:row>822</xdr:row>
      <xdr:rowOff>114300</xdr:rowOff>
    </xdr:to>
    <xdr:sp macro="" textlink="">
      <xdr:nvSpPr>
        <xdr:cNvPr id="6310" name="Arrow: Down 6309">
          <a:extLst>
            <a:ext uri="{FF2B5EF4-FFF2-40B4-BE49-F238E27FC236}">
              <a16:creationId xmlns:a16="http://schemas.microsoft.com/office/drawing/2014/main" id="{A87C23F3-F27B-4CFD-898A-A8E5650BB8BA}"/>
            </a:ext>
          </a:extLst>
        </xdr:cNvPr>
        <xdr:cNvSpPr/>
      </xdr:nvSpPr>
      <xdr:spPr>
        <a:xfrm>
          <a:off x="8336280" y="1502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822</xdr:row>
      <xdr:rowOff>0</xdr:rowOff>
    </xdr:from>
    <xdr:to>
      <xdr:col>5</xdr:col>
      <xdr:colOff>83820</xdr:colOff>
      <xdr:row>822</xdr:row>
      <xdr:rowOff>114300</xdr:rowOff>
    </xdr:to>
    <xdr:sp macro="" textlink="">
      <xdr:nvSpPr>
        <xdr:cNvPr id="6313" name="Arrow: Down 6312">
          <a:extLst>
            <a:ext uri="{FF2B5EF4-FFF2-40B4-BE49-F238E27FC236}">
              <a16:creationId xmlns:a16="http://schemas.microsoft.com/office/drawing/2014/main" id="{981CEC25-E437-438F-9AE4-F15F82BEED61}"/>
            </a:ext>
          </a:extLst>
        </xdr:cNvPr>
        <xdr:cNvSpPr/>
      </xdr:nvSpPr>
      <xdr:spPr>
        <a:xfrm>
          <a:off x="1927860" y="1502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822</xdr:row>
      <xdr:rowOff>0</xdr:rowOff>
    </xdr:from>
    <xdr:to>
      <xdr:col>11</xdr:col>
      <xdr:colOff>83820</xdr:colOff>
      <xdr:row>822</xdr:row>
      <xdr:rowOff>114300</xdr:rowOff>
    </xdr:to>
    <xdr:sp macro="" textlink="">
      <xdr:nvSpPr>
        <xdr:cNvPr id="6314" name="Arrow: Down 6313">
          <a:extLst>
            <a:ext uri="{FF2B5EF4-FFF2-40B4-BE49-F238E27FC236}">
              <a16:creationId xmlns:a16="http://schemas.microsoft.com/office/drawing/2014/main" id="{B7F53B92-3CA0-4A9D-B941-A2BB8FEA65E5}"/>
            </a:ext>
          </a:extLst>
        </xdr:cNvPr>
        <xdr:cNvSpPr/>
      </xdr:nvSpPr>
      <xdr:spPr>
        <a:xfrm>
          <a:off x="3695700" y="1502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823</xdr:row>
      <xdr:rowOff>0</xdr:rowOff>
    </xdr:from>
    <xdr:to>
      <xdr:col>64</xdr:col>
      <xdr:colOff>83820</xdr:colOff>
      <xdr:row>823</xdr:row>
      <xdr:rowOff>114300</xdr:rowOff>
    </xdr:to>
    <xdr:sp macro="" textlink="">
      <xdr:nvSpPr>
        <xdr:cNvPr id="6317" name="Arrow: Down 6316">
          <a:extLst>
            <a:ext uri="{FF2B5EF4-FFF2-40B4-BE49-F238E27FC236}">
              <a16:creationId xmlns:a16="http://schemas.microsoft.com/office/drawing/2014/main" id="{1B755E65-67CB-4512-BB37-72C1C3963350}"/>
            </a:ext>
          </a:extLst>
        </xdr:cNvPr>
        <xdr:cNvSpPr/>
      </xdr:nvSpPr>
      <xdr:spPr>
        <a:xfrm rot="10800000">
          <a:off x="19392900" y="150426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823</xdr:row>
      <xdr:rowOff>0</xdr:rowOff>
    </xdr:from>
    <xdr:to>
      <xdr:col>24</xdr:col>
      <xdr:colOff>83820</xdr:colOff>
      <xdr:row>823</xdr:row>
      <xdr:rowOff>114300</xdr:rowOff>
    </xdr:to>
    <xdr:sp macro="" textlink="">
      <xdr:nvSpPr>
        <xdr:cNvPr id="6318" name="Arrow: Down 6317">
          <a:extLst>
            <a:ext uri="{FF2B5EF4-FFF2-40B4-BE49-F238E27FC236}">
              <a16:creationId xmlns:a16="http://schemas.microsoft.com/office/drawing/2014/main" id="{9A7EC397-59CA-4BB9-8E3D-1FDC7B9FB6E9}"/>
            </a:ext>
          </a:extLst>
        </xdr:cNvPr>
        <xdr:cNvSpPr/>
      </xdr:nvSpPr>
      <xdr:spPr>
        <a:xfrm>
          <a:off x="833628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823</xdr:row>
      <xdr:rowOff>0</xdr:rowOff>
    </xdr:from>
    <xdr:to>
      <xdr:col>60</xdr:col>
      <xdr:colOff>83820</xdr:colOff>
      <xdr:row>823</xdr:row>
      <xdr:rowOff>114300</xdr:rowOff>
    </xdr:to>
    <xdr:sp macro="" textlink="">
      <xdr:nvSpPr>
        <xdr:cNvPr id="6319" name="Arrow: Down 6318">
          <a:extLst>
            <a:ext uri="{FF2B5EF4-FFF2-40B4-BE49-F238E27FC236}">
              <a16:creationId xmlns:a16="http://schemas.microsoft.com/office/drawing/2014/main" id="{95F0DA91-4713-4A14-BE1D-6322A67F32A2}"/>
            </a:ext>
          </a:extLst>
        </xdr:cNvPr>
        <xdr:cNvSpPr/>
      </xdr:nvSpPr>
      <xdr:spPr>
        <a:xfrm>
          <a:off x="1912620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823</xdr:row>
      <xdr:rowOff>0</xdr:rowOff>
    </xdr:from>
    <xdr:to>
      <xdr:col>5</xdr:col>
      <xdr:colOff>83820</xdr:colOff>
      <xdr:row>823</xdr:row>
      <xdr:rowOff>114300</xdr:rowOff>
    </xdr:to>
    <xdr:sp macro="" textlink="">
      <xdr:nvSpPr>
        <xdr:cNvPr id="6321" name="Arrow: Down 6320">
          <a:extLst>
            <a:ext uri="{FF2B5EF4-FFF2-40B4-BE49-F238E27FC236}">
              <a16:creationId xmlns:a16="http://schemas.microsoft.com/office/drawing/2014/main" id="{E5020E77-86DA-4383-9892-313B07B35B60}"/>
            </a:ext>
          </a:extLst>
        </xdr:cNvPr>
        <xdr:cNvSpPr/>
      </xdr:nvSpPr>
      <xdr:spPr>
        <a:xfrm>
          <a:off x="192786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823</xdr:row>
      <xdr:rowOff>0</xdr:rowOff>
    </xdr:from>
    <xdr:to>
      <xdr:col>11</xdr:col>
      <xdr:colOff>83820</xdr:colOff>
      <xdr:row>823</xdr:row>
      <xdr:rowOff>114300</xdr:rowOff>
    </xdr:to>
    <xdr:sp macro="" textlink="">
      <xdr:nvSpPr>
        <xdr:cNvPr id="6322" name="Arrow: Down 6321">
          <a:extLst>
            <a:ext uri="{FF2B5EF4-FFF2-40B4-BE49-F238E27FC236}">
              <a16:creationId xmlns:a16="http://schemas.microsoft.com/office/drawing/2014/main" id="{C0C6FDEB-33B7-425D-A75C-3F7A849366B0}"/>
            </a:ext>
          </a:extLst>
        </xdr:cNvPr>
        <xdr:cNvSpPr/>
      </xdr:nvSpPr>
      <xdr:spPr>
        <a:xfrm>
          <a:off x="369570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823</xdr:row>
      <xdr:rowOff>0</xdr:rowOff>
    </xdr:from>
    <xdr:to>
      <xdr:col>39</xdr:col>
      <xdr:colOff>83820</xdr:colOff>
      <xdr:row>823</xdr:row>
      <xdr:rowOff>114300</xdr:rowOff>
    </xdr:to>
    <xdr:sp macro="" textlink="">
      <xdr:nvSpPr>
        <xdr:cNvPr id="6323" name="Arrow: Down 6322">
          <a:extLst>
            <a:ext uri="{FF2B5EF4-FFF2-40B4-BE49-F238E27FC236}">
              <a16:creationId xmlns:a16="http://schemas.microsoft.com/office/drawing/2014/main" id="{BA0FA1AB-2E54-49C7-A981-D283EBF1BBBD}"/>
            </a:ext>
          </a:extLst>
        </xdr:cNvPr>
        <xdr:cNvSpPr/>
      </xdr:nvSpPr>
      <xdr:spPr>
        <a:xfrm rot="10800000">
          <a:off x="11544300" y="15042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823</xdr:row>
      <xdr:rowOff>0</xdr:rowOff>
    </xdr:from>
    <xdr:to>
      <xdr:col>45</xdr:col>
      <xdr:colOff>83820</xdr:colOff>
      <xdr:row>823</xdr:row>
      <xdr:rowOff>114300</xdr:rowOff>
    </xdr:to>
    <xdr:sp macro="" textlink="">
      <xdr:nvSpPr>
        <xdr:cNvPr id="6324" name="Arrow: Down 6323">
          <a:extLst>
            <a:ext uri="{FF2B5EF4-FFF2-40B4-BE49-F238E27FC236}">
              <a16:creationId xmlns:a16="http://schemas.microsoft.com/office/drawing/2014/main" id="{0E2BA5C7-4E13-4487-9F28-DA39DDF0AA60}"/>
            </a:ext>
          </a:extLst>
        </xdr:cNvPr>
        <xdr:cNvSpPr/>
      </xdr:nvSpPr>
      <xdr:spPr>
        <a:xfrm rot="10800000">
          <a:off x="13403580" y="15042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807</xdr:row>
      <xdr:rowOff>0</xdr:rowOff>
    </xdr:from>
    <xdr:to>
      <xdr:col>5</xdr:col>
      <xdr:colOff>83820</xdr:colOff>
      <xdr:row>807</xdr:row>
      <xdr:rowOff>114300</xdr:rowOff>
    </xdr:to>
    <xdr:sp macro="" textlink="">
      <xdr:nvSpPr>
        <xdr:cNvPr id="6325" name="Arrow: Down 6324">
          <a:extLst>
            <a:ext uri="{FF2B5EF4-FFF2-40B4-BE49-F238E27FC236}">
              <a16:creationId xmlns:a16="http://schemas.microsoft.com/office/drawing/2014/main" id="{B1BFC741-13F0-4E19-BD75-C051E31195A7}"/>
            </a:ext>
          </a:extLst>
        </xdr:cNvPr>
        <xdr:cNvSpPr/>
      </xdr:nvSpPr>
      <xdr:spPr>
        <a:xfrm rot="10800000">
          <a:off x="192786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803</xdr:row>
      <xdr:rowOff>0</xdr:rowOff>
    </xdr:from>
    <xdr:to>
      <xdr:col>5</xdr:col>
      <xdr:colOff>83820</xdr:colOff>
      <xdr:row>803</xdr:row>
      <xdr:rowOff>114300</xdr:rowOff>
    </xdr:to>
    <xdr:sp macro="" textlink="">
      <xdr:nvSpPr>
        <xdr:cNvPr id="6326" name="Arrow: Down 6325">
          <a:extLst>
            <a:ext uri="{FF2B5EF4-FFF2-40B4-BE49-F238E27FC236}">
              <a16:creationId xmlns:a16="http://schemas.microsoft.com/office/drawing/2014/main" id="{6188D170-7783-49AD-9BB9-74FBFD576894}"/>
            </a:ext>
          </a:extLst>
        </xdr:cNvPr>
        <xdr:cNvSpPr/>
      </xdr:nvSpPr>
      <xdr:spPr>
        <a:xfrm rot="10800000">
          <a:off x="192786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803</xdr:row>
      <xdr:rowOff>0</xdr:rowOff>
    </xdr:from>
    <xdr:to>
      <xdr:col>11</xdr:col>
      <xdr:colOff>83820</xdr:colOff>
      <xdr:row>803</xdr:row>
      <xdr:rowOff>114300</xdr:rowOff>
    </xdr:to>
    <xdr:sp macro="" textlink="">
      <xdr:nvSpPr>
        <xdr:cNvPr id="6327" name="Arrow: Down 6326">
          <a:extLst>
            <a:ext uri="{FF2B5EF4-FFF2-40B4-BE49-F238E27FC236}">
              <a16:creationId xmlns:a16="http://schemas.microsoft.com/office/drawing/2014/main" id="{09FBEA38-DC8F-4F7A-A64D-A3D51D2A0B44}"/>
            </a:ext>
          </a:extLst>
        </xdr:cNvPr>
        <xdr:cNvSpPr/>
      </xdr:nvSpPr>
      <xdr:spPr>
        <a:xfrm rot="10800000">
          <a:off x="369570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83820</xdr:colOff>
      <xdr:row>804</xdr:row>
      <xdr:rowOff>114300</xdr:rowOff>
    </xdr:to>
    <xdr:sp macro="" textlink="">
      <xdr:nvSpPr>
        <xdr:cNvPr id="6328" name="Arrow: Down 6327">
          <a:extLst>
            <a:ext uri="{FF2B5EF4-FFF2-40B4-BE49-F238E27FC236}">
              <a16:creationId xmlns:a16="http://schemas.microsoft.com/office/drawing/2014/main" id="{25FDEBAC-7F94-4254-B305-9D39D0C42944}"/>
            </a:ext>
          </a:extLst>
        </xdr:cNvPr>
        <xdr:cNvSpPr/>
      </xdr:nvSpPr>
      <xdr:spPr>
        <a:xfrm rot="10800000">
          <a:off x="192786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804</xdr:row>
      <xdr:rowOff>0</xdr:rowOff>
    </xdr:from>
    <xdr:to>
      <xdr:col>11</xdr:col>
      <xdr:colOff>83820</xdr:colOff>
      <xdr:row>804</xdr:row>
      <xdr:rowOff>114300</xdr:rowOff>
    </xdr:to>
    <xdr:sp macro="" textlink="">
      <xdr:nvSpPr>
        <xdr:cNvPr id="6329" name="Arrow: Down 6328">
          <a:extLst>
            <a:ext uri="{FF2B5EF4-FFF2-40B4-BE49-F238E27FC236}">
              <a16:creationId xmlns:a16="http://schemas.microsoft.com/office/drawing/2014/main" id="{A2717438-E22C-4319-9F0B-C65518218FD5}"/>
            </a:ext>
          </a:extLst>
        </xdr:cNvPr>
        <xdr:cNvSpPr/>
      </xdr:nvSpPr>
      <xdr:spPr>
        <a:xfrm rot="10800000">
          <a:off x="369570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805</xdr:row>
      <xdr:rowOff>0</xdr:rowOff>
    </xdr:from>
    <xdr:to>
      <xdr:col>5</xdr:col>
      <xdr:colOff>83820</xdr:colOff>
      <xdr:row>805</xdr:row>
      <xdr:rowOff>114300</xdr:rowOff>
    </xdr:to>
    <xdr:sp macro="" textlink="">
      <xdr:nvSpPr>
        <xdr:cNvPr id="6331" name="Arrow: Down 6330">
          <a:extLst>
            <a:ext uri="{FF2B5EF4-FFF2-40B4-BE49-F238E27FC236}">
              <a16:creationId xmlns:a16="http://schemas.microsoft.com/office/drawing/2014/main" id="{E7E30851-292F-46A8-AFE1-10C30E577862}"/>
            </a:ext>
          </a:extLst>
        </xdr:cNvPr>
        <xdr:cNvSpPr/>
      </xdr:nvSpPr>
      <xdr:spPr>
        <a:xfrm rot="10800000">
          <a:off x="1927860" y="14731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83820</xdr:colOff>
      <xdr:row>805</xdr:row>
      <xdr:rowOff>114300</xdr:rowOff>
    </xdr:to>
    <xdr:sp macro="" textlink="">
      <xdr:nvSpPr>
        <xdr:cNvPr id="6332" name="Arrow: Down 6331">
          <a:extLst>
            <a:ext uri="{FF2B5EF4-FFF2-40B4-BE49-F238E27FC236}">
              <a16:creationId xmlns:a16="http://schemas.microsoft.com/office/drawing/2014/main" id="{C6628A1D-0901-4FBD-9ABB-1A1489F1C6D0}"/>
            </a:ext>
          </a:extLst>
        </xdr:cNvPr>
        <xdr:cNvSpPr/>
      </xdr:nvSpPr>
      <xdr:spPr>
        <a:xfrm rot="10800000">
          <a:off x="3695700" y="14731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810</xdr:row>
      <xdr:rowOff>0</xdr:rowOff>
    </xdr:from>
    <xdr:to>
      <xdr:col>11</xdr:col>
      <xdr:colOff>83820</xdr:colOff>
      <xdr:row>810</xdr:row>
      <xdr:rowOff>114300</xdr:rowOff>
    </xdr:to>
    <xdr:sp macro="" textlink="">
      <xdr:nvSpPr>
        <xdr:cNvPr id="6334" name="Arrow: Down 6333">
          <a:extLst>
            <a:ext uri="{FF2B5EF4-FFF2-40B4-BE49-F238E27FC236}">
              <a16:creationId xmlns:a16="http://schemas.microsoft.com/office/drawing/2014/main" id="{93FD530B-B7AF-41EF-85C5-4FC4E7C126F0}"/>
            </a:ext>
          </a:extLst>
        </xdr:cNvPr>
        <xdr:cNvSpPr/>
      </xdr:nvSpPr>
      <xdr:spPr>
        <a:xfrm rot="10800000">
          <a:off x="369570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807</xdr:row>
      <xdr:rowOff>0</xdr:rowOff>
    </xdr:from>
    <xdr:to>
      <xdr:col>11</xdr:col>
      <xdr:colOff>83820</xdr:colOff>
      <xdr:row>807</xdr:row>
      <xdr:rowOff>114300</xdr:rowOff>
    </xdr:to>
    <xdr:sp macro="" textlink="">
      <xdr:nvSpPr>
        <xdr:cNvPr id="6335" name="Arrow: Down 6334">
          <a:extLst>
            <a:ext uri="{FF2B5EF4-FFF2-40B4-BE49-F238E27FC236}">
              <a16:creationId xmlns:a16="http://schemas.microsoft.com/office/drawing/2014/main" id="{4F91D48F-EDF2-45C4-99FA-715F93984911}"/>
            </a:ext>
          </a:extLst>
        </xdr:cNvPr>
        <xdr:cNvSpPr/>
      </xdr:nvSpPr>
      <xdr:spPr>
        <a:xfrm rot="10800000">
          <a:off x="369570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811</xdr:row>
      <xdr:rowOff>0</xdr:rowOff>
    </xdr:from>
    <xdr:to>
      <xdr:col>11</xdr:col>
      <xdr:colOff>83820</xdr:colOff>
      <xdr:row>811</xdr:row>
      <xdr:rowOff>114300</xdr:rowOff>
    </xdr:to>
    <xdr:sp macro="" textlink="">
      <xdr:nvSpPr>
        <xdr:cNvPr id="6336" name="Arrow: Down 6335">
          <a:extLst>
            <a:ext uri="{FF2B5EF4-FFF2-40B4-BE49-F238E27FC236}">
              <a16:creationId xmlns:a16="http://schemas.microsoft.com/office/drawing/2014/main" id="{C86FB0D7-7CE3-4E48-8491-39A0DD9CE82B}"/>
            </a:ext>
          </a:extLst>
        </xdr:cNvPr>
        <xdr:cNvSpPr/>
      </xdr:nvSpPr>
      <xdr:spPr>
        <a:xfrm rot="10800000">
          <a:off x="3695700" y="14841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810</xdr:row>
      <xdr:rowOff>0</xdr:rowOff>
    </xdr:from>
    <xdr:to>
      <xdr:col>5</xdr:col>
      <xdr:colOff>83820</xdr:colOff>
      <xdr:row>810</xdr:row>
      <xdr:rowOff>114300</xdr:rowOff>
    </xdr:to>
    <xdr:sp macro="" textlink="">
      <xdr:nvSpPr>
        <xdr:cNvPr id="6337" name="Arrow: Down 6336">
          <a:extLst>
            <a:ext uri="{FF2B5EF4-FFF2-40B4-BE49-F238E27FC236}">
              <a16:creationId xmlns:a16="http://schemas.microsoft.com/office/drawing/2014/main" id="{A860E14A-2B4D-4139-BA49-B41BD83C8126}"/>
            </a:ext>
          </a:extLst>
        </xdr:cNvPr>
        <xdr:cNvSpPr/>
      </xdr:nvSpPr>
      <xdr:spPr>
        <a:xfrm rot="10800000">
          <a:off x="192786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812</xdr:row>
      <xdr:rowOff>0</xdr:rowOff>
    </xdr:from>
    <xdr:to>
      <xdr:col>11</xdr:col>
      <xdr:colOff>83820</xdr:colOff>
      <xdr:row>812</xdr:row>
      <xdr:rowOff>114300</xdr:rowOff>
    </xdr:to>
    <xdr:sp macro="" textlink="">
      <xdr:nvSpPr>
        <xdr:cNvPr id="6339" name="Arrow: Down 6338">
          <a:extLst>
            <a:ext uri="{FF2B5EF4-FFF2-40B4-BE49-F238E27FC236}">
              <a16:creationId xmlns:a16="http://schemas.microsoft.com/office/drawing/2014/main" id="{64A02472-CD6D-4972-93F3-9A36DE19755C}"/>
            </a:ext>
          </a:extLst>
        </xdr:cNvPr>
        <xdr:cNvSpPr/>
      </xdr:nvSpPr>
      <xdr:spPr>
        <a:xfrm rot="10800000">
          <a:off x="369570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817</xdr:row>
      <xdr:rowOff>0</xdr:rowOff>
    </xdr:from>
    <xdr:to>
      <xdr:col>11</xdr:col>
      <xdr:colOff>83820</xdr:colOff>
      <xdr:row>817</xdr:row>
      <xdr:rowOff>114300</xdr:rowOff>
    </xdr:to>
    <xdr:sp macro="" textlink="">
      <xdr:nvSpPr>
        <xdr:cNvPr id="6341" name="Arrow: Down 6340">
          <a:extLst>
            <a:ext uri="{FF2B5EF4-FFF2-40B4-BE49-F238E27FC236}">
              <a16:creationId xmlns:a16="http://schemas.microsoft.com/office/drawing/2014/main" id="{C46282DC-65C9-4487-B81F-B53E013BBC21}"/>
            </a:ext>
          </a:extLst>
        </xdr:cNvPr>
        <xdr:cNvSpPr/>
      </xdr:nvSpPr>
      <xdr:spPr>
        <a:xfrm rot="10800000">
          <a:off x="3695700" y="1495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814</xdr:row>
      <xdr:rowOff>0</xdr:rowOff>
    </xdr:from>
    <xdr:to>
      <xdr:col>11</xdr:col>
      <xdr:colOff>83820</xdr:colOff>
      <xdr:row>814</xdr:row>
      <xdr:rowOff>114300</xdr:rowOff>
    </xdr:to>
    <xdr:sp macro="" textlink="">
      <xdr:nvSpPr>
        <xdr:cNvPr id="6343" name="Arrow: Down 6342">
          <a:extLst>
            <a:ext uri="{FF2B5EF4-FFF2-40B4-BE49-F238E27FC236}">
              <a16:creationId xmlns:a16="http://schemas.microsoft.com/office/drawing/2014/main" id="{38E140E9-B668-42C6-A406-823AEA01D6BF}"/>
            </a:ext>
          </a:extLst>
        </xdr:cNvPr>
        <xdr:cNvSpPr/>
      </xdr:nvSpPr>
      <xdr:spPr>
        <a:xfrm rot="10800000">
          <a:off x="369570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819</xdr:row>
      <xdr:rowOff>0</xdr:rowOff>
    </xdr:from>
    <xdr:to>
      <xdr:col>11</xdr:col>
      <xdr:colOff>83820</xdr:colOff>
      <xdr:row>819</xdr:row>
      <xdr:rowOff>114300</xdr:rowOff>
    </xdr:to>
    <xdr:sp macro="" textlink="">
      <xdr:nvSpPr>
        <xdr:cNvPr id="6344" name="Arrow: Down 6343">
          <a:extLst>
            <a:ext uri="{FF2B5EF4-FFF2-40B4-BE49-F238E27FC236}">
              <a16:creationId xmlns:a16="http://schemas.microsoft.com/office/drawing/2014/main" id="{CEA66469-222C-412B-BFE0-A735EF8C5490}"/>
            </a:ext>
          </a:extLst>
        </xdr:cNvPr>
        <xdr:cNvSpPr/>
      </xdr:nvSpPr>
      <xdr:spPr>
        <a:xfrm rot="10800000">
          <a:off x="369570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811</xdr:row>
      <xdr:rowOff>0</xdr:rowOff>
    </xdr:from>
    <xdr:to>
      <xdr:col>5</xdr:col>
      <xdr:colOff>83820</xdr:colOff>
      <xdr:row>811</xdr:row>
      <xdr:rowOff>114300</xdr:rowOff>
    </xdr:to>
    <xdr:sp macro="" textlink="">
      <xdr:nvSpPr>
        <xdr:cNvPr id="6345" name="Arrow: Down 6344">
          <a:extLst>
            <a:ext uri="{FF2B5EF4-FFF2-40B4-BE49-F238E27FC236}">
              <a16:creationId xmlns:a16="http://schemas.microsoft.com/office/drawing/2014/main" id="{CE4EE41A-2964-4417-ABC8-17F4EBAB6900}"/>
            </a:ext>
          </a:extLst>
        </xdr:cNvPr>
        <xdr:cNvSpPr/>
      </xdr:nvSpPr>
      <xdr:spPr>
        <a:xfrm rot="10800000">
          <a:off x="1927860" y="14841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820</xdr:row>
      <xdr:rowOff>0</xdr:rowOff>
    </xdr:from>
    <xdr:to>
      <xdr:col>11</xdr:col>
      <xdr:colOff>83820</xdr:colOff>
      <xdr:row>820</xdr:row>
      <xdr:rowOff>114300</xdr:rowOff>
    </xdr:to>
    <xdr:sp macro="" textlink="">
      <xdr:nvSpPr>
        <xdr:cNvPr id="6346" name="Arrow: Down 6345">
          <a:extLst>
            <a:ext uri="{FF2B5EF4-FFF2-40B4-BE49-F238E27FC236}">
              <a16:creationId xmlns:a16="http://schemas.microsoft.com/office/drawing/2014/main" id="{5E8B2BED-71A9-4103-B39D-2BFBA77F5BA3}"/>
            </a:ext>
          </a:extLst>
        </xdr:cNvPr>
        <xdr:cNvSpPr/>
      </xdr:nvSpPr>
      <xdr:spPr>
        <a:xfrm rot="10800000">
          <a:off x="3695700" y="1500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812</xdr:row>
      <xdr:rowOff>0</xdr:rowOff>
    </xdr:from>
    <xdr:to>
      <xdr:col>5</xdr:col>
      <xdr:colOff>83820</xdr:colOff>
      <xdr:row>812</xdr:row>
      <xdr:rowOff>114300</xdr:rowOff>
    </xdr:to>
    <xdr:sp macro="" textlink="">
      <xdr:nvSpPr>
        <xdr:cNvPr id="6347" name="Arrow: Down 6346">
          <a:extLst>
            <a:ext uri="{FF2B5EF4-FFF2-40B4-BE49-F238E27FC236}">
              <a16:creationId xmlns:a16="http://schemas.microsoft.com/office/drawing/2014/main" id="{67D14B13-3EA5-4A40-886C-2EBA9D2F0139}"/>
            </a:ext>
          </a:extLst>
        </xdr:cNvPr>
        <xdr:cNvSpPr/>
      </xdr:nvSpPr>
      <xdr:spPr>
        <a:xfrm rot="10800000">
          <a:off x="192786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817</xdr:row>
      <xdr:rowOff>0</xdr:rowOff>
    </xdr:from>
    <xdr:to>
      <xdr:col>5</xdr:col>
      <xdr:colOff>83820</xdr:colOff>
      <xdr:row>817</xdr:row>
      <xdr:rowOff>114300</xdr:rowOff>
    </xdr:to>
    <xdr:sp macro="" textlink="">
      <xdr:nvSpPr>
        <xdr:cNvPr id="6348" name="Arrow: Down 6347">
          <a:extLst>
            <a:ext uri="{FF2B5EF4-FFF2-40B4-BE49-F238E27FC236}">
              <a16:creationId xmlns:a16="http://schemas.microsoft.com/office/drawing/2014/main" id="{8ACCEB45-B811-415D-8938-B69BB68D3AC0}"/>
            </a:ext>
          </a:extLst>
        </xdr:cNvPr>
        <xdr:cNvSpPr/>
      </xdr:nvSpPr>
      <xdr:spPr>
        <a:xfrm rot="10800000">
          <a:off x="1927860" y="1495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814</xdr:row>
      <xdr:rowOff>0</xdr:rowOff>
    </xdr:from>
    <xdr:to>
      <xdr:col>5</xdr:col>
      <xdr:colOff>83820</xdr:colOff>
      <xdr:row>814</xdr:row>
      <xdr:rowOff>114300</xdr:rowOff>
    </xdr:to>
    <xdr:sp macro="" textlink="">
      <xdr:nvSpPr>
        <xdr:cNvPr id="6349" name="Arrow: Down 6348">
          <a:extLst>
            <a:ext uri="{FF2B5EF4-FFF2-40B4-BE49-F238E27FC236}">
              <a16:creationId xmlns:a16="http://schemas.microsoft.com/office/drawing/2014/main" id="{40F3E0B2-E824-49BC-AF12-7ADA3EE37931}"/>
            </a:ext>
          </a:extLst>
        </xdr:cNvPr>
        <xdr:cNvSpPr/>
      </xdr:nvSpPr>
      <xdr:spPr>
        <a:xfrm rot="10800000">
          <a:off x="192786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819</xdr:row>
      <xdr:rowOff>0</xdr:rowOff>
    </xdr:from>
    <xdr:to>
      <xdr:col>5</xdr:col>
      <xdr:colOff>83820</xdr:colOff>
      <xdr:row>819</xdr:row>
      <xdr:rowOff>114300</xdr:rowOff>
    </xdr:to>
    <xdr:sp macro="" textlink="">
      <xdr:nvSpPr>
        <xdr:cNvPr id="6350" name="Arrow: Down 6349">
          <a:extLst>
            <a:ext uri="{FF2B5EF4-FFF2-40B4-BE49-F238E27FC236}">
              <a16:creationId xmlns:a16="http://schemas.microsoft.com/office/drawing/2014/main" id="{F80B4C8D-48F7-4278-B935-D0884C0D2C66}"/>
            </a:ext>
          </a:extLst>
        </xdr:cNvPr>
        <xdr:cNvSpPr/>
      </xdr:nvSpPr>
      <xdr:spPr>
        <a:xfrm rot="10800000">
          <a:off x="192786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820</xdr:row>
      <xdr:rowOff>0</xdr:rowOff>
    </xdr:from>
    <xdr:to>
      <xdr:col>5</xdr:col>
      <xdr:colOff>83820</xdr:colOff>
      <xdr:row>820</xdr:row>
      <xdr:rowOff>114300</xdr:rowOff>
    </xdr:to>
    <xdr:sp macro="" textlink="">
      <xdr:nvSpPr>
        <xdr:cNvPr id="6351" name="Arrow: Down 6350">
          <a:extLst>
            <a:ext uri="{FF2B5EF4-FFF2-40B4-BE49-F238E27FC236}">
              <a16:creationId xmlns:a16="http://schemas.microsoft.com/office/drawing/2014/main" id="{A45FA0D3-7CE0-477F-829C-DD0425192B77}"/>
            </a:ext>
          </a:extLst>
        </xdr:cNvPr>
        <xdr:cNvSpPr/>
      </xdr:nvSpPr>
      <xdr:spPr>
        <a:xfrm rot="10800000">
          <a:off x="1927860" y="1500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803</xdr:row>
      <xdr:rowOff>0</xdr:rowOff>
    </xdr:from>
    <xdr:to>
      <xdr:col>24</xdr:col>
      <xdr:colOff>83820</xdr:colOff>
      <xdr:row>803</xdr:row>
      <xdr:rowOff>114300</xdr:rowOff>
    </xdr:to>
    <xdr:sp macro="" textlink="">
      <xdr:nvSpPr>
        <xdr:cNvPr id="6352" name="Arrow: Down 6351">
          <a:extLst>
            <a:ext uri="{FF2B5EF4-FFF2-40B4-BE49-F238E27FC236}">
              <a16:creationId xmlns:a16="http://schemas.microsoft.com/office/drawing/2014/main" id="{5FB3E1C5-29EC-454A-88EB-18015F92A973}"/>
            </a:ext>
          </a:extLst>
        </xdr:cNvPr>
        <xdr:cNvSpPr/>
      </xdr:nvSpPr>
      <xdr:spPr>
        <a:xfrm>
          <a:off x="833628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807</xdr:row>
      <xdr:rowOff>0</xdr:rowOff>
    </xdr:from>
    <xdr:to>
      <xdr:col>24</xdr:col>
      <xdr:colOff>83820</xdr:colOff>
      <xdr:row>807</xdr:row>
      <xdr:rowOff>114300</xdr:rowOff>
    </xdr:to>
    <xdr:sp macro="" textlink="">
      <xdr:nvSpPr>
        <xdr:cNvPr id="6354" name="Arrow: Down 6353">
          <a:extLst>
            <a:ext uri="{FF2B5EF4-FFF2-40B4-BE49-F238E27FC236}">
              <a16:creationId xmlns:a16="http://schemas.microsoft.com/office/drawing/2014/main" id="{42C4E32F-4EEB-430A-A134-EDF7E6BBAA34}"/>
            </a:ext>
          </a:extLst>
        </xdr:cNvPr>
        <xdr:cNvSpPr/>
      </xdr:nvSpPr>
      <xdr:spPr>
        <a:xfrm>
          <a:off x="833628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811</xdr:row>
      <xdr:rowOff>0</xdr:rowOff>
    </xdr:from>
    <xdr:to>
      <xdr:col>24</xdr:col>
      <xdr:colOff>83820</xdr:colOff>
      <xdr:row>811</xdr:row>
      <xdr:rowOff>114300</xdr:rowOff>
    </xdr:to>
    <xdr:sp macro="" textlink="">
      <xdr:nvSpPr>
        <xdr:cNvPr id="6355" name="Arrow: Down 6354">
          <a:extLst>
            <a:ext uri="{FF2B5EF4-FFF2-40B4-BE49-F238E27FC236}">
              <a16:creationId xmlns:a16="http://schemas.microsoft.com/office/drawing/2014/main" id="{D9E51810-493A-40A9-91D9-A45B719CB804}"/>
            </a:ext>
          </a:extLst>
        </xdr:cNvPr>
        <xdr:cNvSpPr/>
      </xdr:nvSpPr>
      <xdr:spPr>
        <a:xfrm>
          <a:off x="8336280" y="14841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804</xdr:row>
      <xdr:rowOff>0</xdr:rowOff>
    </xdr:from>
    <xdr:to>
      <xdr:col>24</xdr:col>
      <xdr:colOff>83820</xdr:colOff>
      <xdr:row>804</xdr:row>
      <xdr:rowOff>114300</xdr:rowOff>
    </xdr:to>
    <xdr:sp macro="" textlink="">
      <xdr:nvSpPr>
        <xdr:cNvPr id="6356" name="Arrow: Down 6355">
          <a:extLst>
            <a:ext uri="{FF2B5EF4-FFF2-40B4-BE49-F238E27FC236}">
              <a16:creationId xmlns:a16="http://schemas.microsoft.com/office/drawing/2014/main" id="{5CA2DF7F-E4AF-457B-86EC-FE3FBBA30623}"/>
            </a:ext>
          </a:extLst>
        </xdr:cNvPr>
        <xdr:cNvSpPr/>
      </xdr:nvSpPr>
      <xdr:spPr>
        <a:xfrm>
          <a:off x="833628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814</xdr:row>
      <xdr:rowOff>0</xdr:rowOff>
    </xdr:from>
    <xdr:to>
      <xdr:col>24</xdr:col>
      <xdr:colOff>83820</xdr:colOff>
      <xdr:row>814</xdr:row>
      <xdr:rowOff>114300</xdr:rowOff>
    </xdr:to>
    <xdr:sp macro="" textlink="">
      <xdr:nvSpPr>
        <xdr:cNvPr id="6357" name="Arrow: Down 6356">
          <a:extLst>
            <a:ext uri="{FF2B5EF4-FFF2-40B4-BE49-F238E27FC236}">
              <a16:creationId xmlns:a16="http://schemas.microsoft.com/office/drawing/2014/main" id="{121F02CB-D45A-42AD-9617-5A5176FFC230}"/>
            </a:ext>
          </a:extLst>
        </xdr:cNvPr>
        <xdr:cNvSpPr/>
      </xdr:nvSpPr>
      <xdr:spPr>
        <a:xfrm>
          <a:off x="833628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817</xdr:row>
      <xdr:rowOff>0</xdr:rowOff>
    </xdr:from>
    <xdr:to>
      <xdr:col>24</xdr:col>
      <xdr:colOff>83820</xdr:colOff>
      <xdr:row>817</xdr:row>
      <xdr:rowOff>114300</xdr:rowOff>
    </xdr:to>
    <xdr:sp macro="" textlink="">
      <xdr:nvSpPr>
        <xdr:cNvPr id="6358" name="Arrow: Down 6357">
          <a:extLst>
            <a:ext uri="{FF2B5EF4-FFF2-40B4-BE49-F238E27FC236}">
              <a16:creationId xmlns:a16="http://schemas.microsoft.com/office/drawing/2014/main" id="{27D7F863-8225-4CBD-A592-FC8CB9DDEFEA}"/>
            </a:ext>
          </a:extLst>
        </xdr:cNvPr>
        <xdr:cNvSpPr/>
      </xdr:nvSpPr>
      <xdr:spPr>
        <a:xfrm>
          <a:off x="8336280" y="1495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819</xdr:row>
      <xdr:rowOff>0</xdr:rowOff>
    </xdr:from>
    <xdr:to>
      <xdr:col>24</xdr:col>
      <xdr:colOff>83820</xdr:colOff>
      <xdr:row>819</xdr:row>
      <xdr:rowOff>114300</xdr:rowOff>
    </xdr:to>
    <xdr:sp macro="" textlink="">
      <xdr:nvSpPr>
        <xdr:cNvPr id="6359" name="Arrow: Down 6358">
          <a:extLst>
            <a:ext uri="{FF2B5EF4-FFF2-40B4-BE49-F238E27FC236}">
              <a16:creationId xmlns:a16="http://schemas.microsoft.com/office/drawing/2014/main" id="{B1CE2A6B-D74B-4C1F-9AED-C9365FF3ABFE}"/>
            </a:ext>
          </a:extLst>
        </xdr:cNvPr>
        <xdr:cNvSpPr/>
      </xdr:nvSpPr>
      <xdr:spPr>
        <a:xfrm>
          <a:off x="833628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812</xdr:row>
      <xdr:rowOff>0</xdr:rowOff>
    </xdr:from>
    <xdr:to>
      <xdr:col>24</xdr:col>
      <xdr:colOff>83820</xdr:colOff>
      <xdr:row>812</xdr:row>
      <xdr:rowOff>114300</xdr:rowOff>
    </xdr:to>
    <xdr:sp macro="" textlink="">
      <xdr:nvSpPr>
        <xdr:cNvPr id="6360" name="Arrow: Down 6359">
          <a:extLst>
            <a:ext uri="{FF2B5EF4-FFF2-40B4-BE49-F238E27FC236}">
              <a16:creationId xmlns:a16="http://schemas.microsoft.com/office/drawing/2014/main" id="{8C26D0D5-C8C4-4BF6-A037-FD7C5BE4DF12}"/>
            </a:ext>
          </a:extLst>
        </xdr:cNvPr>
        <xdr:cNvSpPr/>
      </xdr:nvSpPr>
      <xdr:spPr>
        <a:xfrm>
          <a:off x="833628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804</xdr:row>
      <xdr:rowOff>0</xdr:rowOff>
    </xdr:from>
    <xdr:to>
      <xdr:col>39</xdr:col>
      <xdr:colOff>83820</xdr:colOff>
      <xdr:row>804</xdr:row>
      <xdr:rowOff>114300</xdr:rowOff>
    </xdr:to>
    <xdr:sp macro="" textlink="">
      <xdr:nvSpPr>
        <xdr:cNvPr id="6361" name="Arrow: Down 6360">
          <a:extLst>
            <a:ext uri="{FF2B5EF4-FFF2-40B4-BE49-F238E27FC236}">
              <a16:creationId xmlns:a16="http://schemas.microsoft.com/office/drawing/2014/main" id="{BF5046D8-8A3F-407C-8AE8-A95DCEA275E6}"/>
            </a:ext>
          </a:extLst>
        </xdr:cNvPr>
        <xdr:cNvSpPr/>
      </xdr:nvSpPr>
      <xdr:spPr>
        <a:xfrm>
          <a:off x="1154430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807</xdr:row>
      <xdr:rowOff>0</xdr:rowOff>
    </xdr:from>
    <xdr:to>
      <xdr:col>39</xdr:col>
      <xdr:colOff>83820</xdr:colOff>
      <xdr:row>807</xdr:row>
      <xdr:rowOff>114300</xdr:rowOff>
    </xdr:to>
    <xdr:sp macro="" textlink="">
      <xdr:nvSpPr>
        <xdr:cNvPr id="6362" name="Arrow: Down 6361">
          <a:extLst>
            <a:ext uri="{FF2B5EF4-FFF2-40B4-BE49-F238E27FC236}">
              <a16:creationId xmlns:a16="http://schemas.microsoft.com/office/drawing/2014/main" id="{F0135BF7-1128-4DCA-A89A-E7AF37F033B3}"/>
            </a:ext>
          </a:extLst>
        </xdr:cNvPr>
        <xdr:cNvSpPr/>
      </xdr:nvSpPr>
      <xdr:spPr>
        <a:xfrm>
          <a:off x="1154430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808</xdr:row>
      <xdr:rowOff>0</xdr:rowOff>
    </xdr:from>
    <xdr:to>
      <xdr:col>39</xdr:col>
      <xdr:colOff>83820</xdr:colOff>
      <xdr:row>808</xdr:row>
      <xdr:rowOff>114300</xdr:rowOff>
    </xdr:to>
    <xdr:sp macro="" textlink="">
      <xdr:nvSpPr>
        <xdr:cNvPr id="6363" name="Arrow: Down 6362">
          <a:extLst>
            <a:ext uri="{FF2B5EF4-FFF2-40B4-BE49-F238E27FC236}">
              <a16:creationId xmlns:a16="http://schemas.microsoft.com/office/drawing/2014/main" id="{1197FCA6-4A87-441A-9420-777210B444C3}"/>
            </a:ext>
          </a:extLst>
        </xdr:cNvPr>
        <xdr:cNvSpPr/>
      </xdr:nvSpPr>
      <xdr:spPr>
        <a:xfrm>
          <a:off x="1154430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814</xdr:row>
      <xdr:rowOff>0</xdr:rowOff>
    </xdr:from>
    <xdr:to>
      <xdr:col>39</xdr:col>
      <xdr:colOff>83820</xdr:colOff>
      <xdr:row>814</xdr:row>
      <xdr:rowOff>114300</xdr:rowOff>
    </xdr:to>
    <xdr:sp macro="" textlink="">
      <xdr:nvSpPr>
        <xdr:cNvPr id="6364" name="Arrow: Down 6363">
          <a:extLst>
            <a:ext uri="{FF2B5EF4-FFF2-40B4-BE49-F238E27FC236}">
              <a16:creationId xmlns:a16="http://schemas.microsoft.com/office/drawing/2014/main" id="{0122F8B1-1952-48D0-ABEC-9717ECA22EC9}"/>
            </a:ext>
          </a:extLst>
        </xdr:cNvPr>
        <xdr:cNvSpPr/>
      </xdr:nvSpPr>
      <xdr:spPr>
        <a:xfrm>
          <a:off x="1154430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818</xdr:row>
      <xdr:rowOff>0</xdr:rowOff>
    </xdr:from>
    <xdr:to>
      <xdr:col>39</xdr:col>
      <xdr:colOff>83820</xdr:colOff>
      <xdr:row>818</xdr:row>
      <xdr:rowOff>114300</xdr:rowOff>
    </xdr:to>
    <xdr:sp macro="" textlink="">
      <xdr:nvSpPr>
        <xdr:cNvPr id="6365" name="Arrow: Down 6364">
          <a:extLst>
            <a:ext uri="{FF2B5EF4-FFF2-40B4-BE49-F238E27FC236}">
              <a16:creationId xmlns:a16="http://schemas.microsoft.com/office/drawing/2014/main" id="{54B815CA-D1D5-45C6-8FCB-0F7DAD7C5A2F}"/>
            </a:ext>
          </a:extLst>
        </xdr:cNvPr>
        <xdr:cNvSpPr/>
      </xdr:nvSpPr>
      <xdr:spPr>
        <a:xfrm>
          <a:off x="1154430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822</xdr:row>
      <xdr:rowOff>0</xdr:rowOff>
    </xdr:from>
    <xdr:to>
      <xdr:col>39</xdr:col>
      <xdr:colOff>83820</xdr:colOff>
      <xdr:row>822</xdr:row>
      <xdr:rowOff>114300</xdr:rowOff>
    </xdr:to>
    <xdr:sp macro="" textlink="">
      <xdr:nvSpPr>
        <xdr:cNvPr id="6366" name="Arrow: Down 6365">
          <a:extLst>
            <a:ext uri="{FF2B5EF4-FFF2-40B4-BE49-F238E27FC236}">
              <a16:creationId xmlns:a16="http://schemas.microsoft.com/office/drawing/2014/main" id="{D524F903-221E-4A03-8404-25063EFBEB36}"/>
            </a:ext>
          </a:extLst>
        </xdr:cNvPr>
        <xdr:cNvSpPr/>
      </xdr:nvSpPr>
      <xdr:spPr>
        <a:xfrm>
          <a:off x="1154430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812</xdr:row>
      <xdr:rowOff>0</xdr:rowOff>
    </xdr:from>
    <xdr:to>
      <xdr:col>39</xdr:col>
      <xdr:colOff>83820</xdr:colOff>
      <xdr:row>812</xdr:row>
      <xdr:rowOff>114300</xdr:rowOff>
    </xdr:to>
    <xdr:sp macro="" textlink="">
      <xdr:nvSpPr>
        <xdr:cNvPr id="6367" name="Arrow: Down 6366">
          <a:extLst>
            <a:ext uri="{FF2B5EF4-FFF2-40B4-BE49-F238E27FC236}">
              <a16:creationId xmlns:a16="http://schemas.microsoft.com/office/drawing/2014/main" id="{AA12CB64-0B8A-4995-977B-08CEA2292FE2}"/>
            </a:ext>
          </a:extLst>
        </xdr:cNvPr>
        <xdr:cNvSpPr/>
      </xdr:nvSpPr>
      <xdr:spPr>
        <a:xfrm>
          <a:off x="1154430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815</xdr:row>
      <xdr:rowOff>0</xdr:rowOff>
    </xdr:from>
    <xdr:to>
      <xdr:col>39</xdr:col>
      <xdr:colOff>83820</xdr:colOff>
      <xdr:row>815</xdr:row>
      <xdr:rowOff>114300</xdr:rowOff>
    </xdr:to>
    <xdr:sp macro="" textlink="">
      <xdr:nvSpPr>
        <xdr:cNvPr id="6368" name="Arrow: Down 6367">
          <a:extLst>
            <a:ext uri="{FF2B5EF4-FFF2-40B4-BE49-F238E27FC236}">
              <a16:creationId xmlns:a16="http://schemas.microsoft.com/office/drawing/2014/main" id="{4DD9F297-67A9-4E34-A4F1-69FF573B95F4}"/>
            </a:ext>
          </a:extLst>
        </xdr:cNvPr>
        <xdr:cNvSpPr/>
      </xdr:nvSpPr>
      <xdr:spPr>
        <a:xfrm>
          <a:off x="1154430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810</xdr:row>
      <xdr:rowOff>0</xdr:rowOff>
    </xdr:from>
    <xdr:to>
      <xdr:col>39</xdr:col>
      <xdr:colOff>83820</xdr:colOff>
      <xdr:row>810</xdr:row>
      <xdr:rowOff>114300</xdr:rowOff>
    </xdr:to>
    <xdr:sp macro="" textlink="">
      <xdr:nvSpPr>
        <xdr:cNvPr id="6370" name="Arrow: Down 6369">
          <a:extLst>
            <a:ext uri="{FF2B5EF4-FFF2-40B4-BE49-F238E27FC236}">
              <a16:creationId xmlns:a16="http://schemas.microsoft.com/office/drawing/2014/main" id="{43B0F7E4-BE75-4E17-A7F1-4F4B65CF6ECE}"/>
            </a:ext>
          </a:extLst>
        </xdr:cNvPr>
        <xdr:cNvSpPr/>
      </xdr:nvSpPr>
      <xdr:spPr>
        <a:xfrm>
          <a:off x="1154430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816</xdr:row>
      <xdr:rowOff>0</xdr:rowOff>
    </xdr:from>
    <xdr:to>
      <xdr:col>39</xdr:col>
      <xdr:colOff>83820</xdr:colOff>
      <xdr:row>816</xdr:row>
      <xdr:rowOff>114300</xdr:rowOff>
    </xdr:to>
    <xdr:sp macro="" textlink="">
      <xdr:nvSpPr>
        <xdr:cNvPr id="6372" name="Arrow: Down 6371">
          <a:extLst>
            <a:ext uri="{FF2B5EF4-FFF2-40B4-BE49-F238E27FC236}">
              <a16:creationId xmlns:a16="http://schemas.microsoft.com/office/drawing/2014/main" id="{1E3A6DAA-0D2A-4545-B283-1DA2A4B245AC}"/>
            </a:ext>
          </a:extLst>
        </xdr:cNvPr>
        <xdr:cNvSpPr/>
      </xdr:nvSpPr>
      <xdr:spPr>
        <a:xfrm>
          <a:off x="11544300" y="1493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819</xdr:row>
      <xdr:rowOff>0</xdr:rowOff>
    </xdr:from>
    <xdr:to>
      <xdr:col>39</xdr:col>
      <xdr:colOff>83820</xdr:colOff>
      <xdr:row>819</xdr:row>
      <xdr:rowOff>114300</xdr:rowOff>
    </xdr:to>
    <xdr:sp macro="" textlink="">
      <xdr:nvSpPr>
        <xdr:cNvPr id="6373" name="Arrow: Down 6372">
          <a:extLst>
            <a:ext uri="{FF2B5EF4-FFF2-40B4-BE49-F238E27FC236}">
              <a16:creationId xmlns:a16="http://schemas.microsoft.com/office/drawing/2014/main" id="{3B2DACBB-4E7B-4991-B588-2768A3DDC1F3}"/>
            </a:ext>
          </a:extLst>
        </xdr:cNvPr>
        <xdr:cNvSpPr/>
      </xdr:nvSpPr>
      <xdr:spPr>
        <a:xfrm>
          <a:off x="1154430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804</xdr:row>
      <xdr:rowOff>0</xdr:rowOff>
    </xdr:from>
    <xdr:to>
      <xdr:col>45</xdr:col>
      <xdr:colOff>83820</xdr:colOff>
      <xdr:row>804</xdr:row>
      <xdr:rowOff>114300</xdr:rowOff>
    </xdr:to>
    <xdr:sp macro="" textlink="">
      <xdr:nvSpPr>
        <xdr:cNvPr id="6374" name="Arrow: Down 6373">
          <a:extLst>
            <a:ext uri="{FF2B5EF4-FFF2-40B4-BE49-F238E27FC236}">
              <a16:creationId xmlns:a16="http://schemas.microsoft.com/office/drawing/2014/main" id="{F35F9CCA-B338-41A8-B41D-B19D417ABAD0}"/>
            </a:ext>
          </a:extLst>
        </xdr:cNvPr>
        <xdr:cNvSpPr/>
      </xdr:nvSpPr>
      <xdr:spPr>
        <a:xfrm>
          <a:off x="1340358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810</xdr:row>
      <xdr:rowOff>0</xdr:rowOff>
    </xdr:from>
    <xdr:to>
      <xdr:col>45</xdr:col>
      <xdr:colOff>83820</xdr:colOff>
      <xdr:row>810</xdr:row>
      <xdr:rowOff>114300</xdr:rowOff>
    </xdr:to>
    <xdr:sp macro="" textlink="">
      <xdr:nvSpPr>
        <xdr:cNvPr id="6375" name="Arrow: Down 6374">
          <a:extLst>
            <a:ext uri="{FF2B5EF4-FFF2-40B4-BE49-F238E27FC236}">
              <a16:creationId xmlns:a16="http://schemas.microsoft.com/office/drawing/2014/main" id="{A9A31177-9B44-460C-8485-27EC4F057346}"/>
            </a:ext>
          </a:extLst>
        </xdr:cNvPr>
        <xdr:cNvSpPr/>
      </xdr:nvSpPr>
      <xdr:spPr>
        <a:xfrm>
          <a:off x="1340358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814</xdr:row>
      <xdr:rowOff>0</xdr:rowOff>
    </xdr:from>
    <xdr:to>
      <xdr:col>45</xdr:col>
      <xdr:colOff>83820</xdr:colOff>
      <xdr:row>814</xdr:row>
      <xdr:rowOff>114300</xdr:rowOff>
    </xdr:to>
    <xdr:sp macro="" textlink="">
      <xdr:nvSpPr>
        <xdr:cNvPr id="6377" name="Arrow: Down 6376">
          <a:extLst>
            <a:ext uri="{FF2B5EF4-FFF2-40B4-BE49-F238E27FC236}">
              <a16:creationId xmlns:a16="http://schemas.microsoft.com/office/drawing/2014/main" id="{BFE81FE6-B2F8-4DBF-A4AF-BA66C0FC3B41}"/>
            </a:ext>
          </a:extLst>
        </xdr:cNvPr>
        <xdr:cNvSpPr/>
      </xdr:nvSpPr>
      <xdr:spPr>
        <a:xfrm>
          <a:off x="1340358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807</xdr:row>
      <xdr:rowOff>0</xdr:rowOff>
    </xdr:from>
    <xdr:to>
      <xdr:col>45</xdr:col>
      <xdr:colOff>83820</xdr:colOff>
      <xdr:row>807</xdr:row>
      <xdr:rowOff>114300</xdr:rowOff>
    </xdr:to>
    <xdr:sp macro="" textlink="">
      <xdr:nvSpPr>
        <xdr:cNvPr id="6378" name="Arrow: Down 6377">
          <a:extLst>
            <a:ext uri="{FF2B5EF4-FFF2-40B4-BE49-F238E27FC236}">
              <a16:creationId xmlns:a16="http://schemas.microsoft.com/office/drawing/2014/main" id="{D3BEE430-1FB9-49EA-A3ED-FA7363711075}"/>
            </a:ext>
          </a:extLst>
        </xdr:cNvPr>
        <xdr:cNvSpPr/>
      </xdr:nvSpPr>
      <xdr:spPr>
        <a:xfrm>
          <a:off x="1340358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818</xdr:row>
      <xdr:rowOff>0</xdr:rowOff>
    </xdr:from>
    <xdr:to>
      <xdr:col>45</xdr:col>
      <xdr:colOff>83820</xdr:colOff>
      <xdr:row>818</xdr:row>
      <xdr:rowOff>114300</xdr:rowOff>
    </xdr:to>
    <xdr:sp macro="" textlink="">
      <xdr:nvSpPr>
        <xdr:cNvPr id="6379" name="Arrow: Down 6378">
          <a:extLst>
            <a:ext uri="{FF2B5EF4-FFF2-40B4-BE49-F238E27FC236}">
              <a16:creationId xmlns:a16="http://schemas.microsoft.com/office/drawing/2014/main" id="{DBDB9638-B5AF-4C4B-9093-1BEEC33733DB}"/>
            </a:ext>
          </a:extLst>
        </xdr:cNvPr>
        <xdr:cNvSpPr/>
      </xdr:nvSpPr>
      <xdr:spPr>
        <a:xfrm>
          <a:off x="1340358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808</xdr:row>
      <xdr:rowOff>0</xdr:rowOff>
    </xdr:from>
    <xdr:to>
      <xdr:col>45</xdr:col>
      <xdr:colOff>83820</xdr:colOff>
      <xdr:row>808</xdr:row>
      <xdr:rowOff>114300</xdr:rowOff>
    </xdr:to>
    <xdr:sp macro="" textlink="">
      <xdr:nvSpPr>
        <xdr:cNvPr id="6381" name="Arrow: Down 6380">
          <a:extLst>
            <a:ext uri="{FF2B5EF4-FFF2-40B4-BE49-F238E27FC236}">
              <a16:creationId xmlns:a16="http://schemas.microsoft.com/office/drawing/2014/main" id="{2A6D996B-24EF-4279-84C2-B820B6AD7B4B}"/>
            </a:ext>
          </a:extLst>
        </xdr:cNvPr>
        <xdr:cNvSpPr/>
      </xdr:nvSpPr>
      <xdr:spPr>
        <a:xfrm>
          <a:off x="1340358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812</xdr:row>
      <xdr:rowOff>0</xdr:rowOff>
    </xdr:from>
    <xdr:to>
      <xdr:col>45</xdr:col>
      <xdr:colOff>83820</xdr:colOff>
      <xdr:row>812</xdr:row>
      <xdr:rowOff>114300</xdr:rowOff>
    </xdr:to>
    <xdr:sp macro="" textlink="">
      <xdr:nvSpPr>
        <xdr:cNvPr id="6383" name="Arrow: Down 6382">
          <a:extLst>
            <a:ext uri="{FF2B5EF4-FFF2-40B4-BE49-F238E27FC236}">
              <a16:creationId xmlns:a16="http://schemas.microsoft.com/office/drawing/2014/main" id="{3EBB4F7D-A83F-4804-A8C9-8BB2549316FC}"/>
            </a:ext>
          </a:extLst>
        </xdr:cNvPr>
        <xdr:cNvSpPr/>
      </xdr:nvSpPr>
      <xdr:spPr>
        <a:xfrm>
          <a:off x="1340358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815</xdr:row>
      <xdr:rowOff>0</xdr:rowOff>
    </xdr:from>
    <xdr:to>
      <xdr:col>45</xdr:col>
      <xdr:colOff>83820</xdr:colOff>
      <xdr:row>815</xdr:row>
      <xdr:rowOff>114300</xdr:rowOff>
    </xdr:to>
    <xdr:sp macro="" textlink="">
      <xdr:nvSpPr>
        <xdr:cNvPr id="6384" name="Arrow: Down 6383">
          <a:extLst>
            <a:ext uri="{FF2B5EF4-FFF2-40B4-BE49-F238E27FC236}">
              <a16:creationId xmlns:a16="http://schemas.microsoft.com/office/drawing/2014/main" id="{E3852337-6400-4EEB-A88A-9FA608798437}"/>
            </a:ext>
          </a:extLst>
        </xdr:cNvPr>
        <xdr:cNvSpPr/>
      </xdr:nvSpPr>
      <xdr:spPr>
        <a:xfrm>
          <a:off x="1340358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822</xdr:row>
      <xdr:rowOff>0</xdr:rowOff>
    </xdr:from>
    <xdr:to>
      <xdr:col>45</xdr:col>
      <xdr:colOff>83820</xdr:colOff>
      <xdr:row>822</xdr:row>
      <xdr:rowOff>114300</xdr:rowOff>
    </xdr:to>
    <xdr:sp macro="" textlink="">
      <xdr:nvSpPr>
        <xdr:cNvPr id="6385" name="Arrow: Down 6384">
          <a:extLst>
            <a:ext uri="{FF2B5EF4-FFF2-40B4-BE49-F238E27FC236}">
              <a16:creationId xmlns:a16="http://schemas.microsoft.com/office/drawing/2014/main" id="{5A4476F8-B380-4EC5-BCD5-8E0EE7AE875D}"/>
            </a:ext>
          </a:extLst>
        </xdr:cNvPr>
        <xdr:cNvSpPr/>
      </xdr:nvSpPr>
      <xdr:spPr>
        <a:xfrm>
          <a:off x="1340358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816</xdr:row>
      <xdr:rowOff>0</xdr:rowOff>
    </xdr:from>
    <xdr:to>
      <xdr:col>45</xdr:col>
      <xdr:colOff>83820</xdr:colOff>
      <xdr:row>816</xdr:row>
      <xdr:rowOff>114300</xdr:rowOff>
    </xdr:to>
    <xdr:sp macro="" textlink="">
      <xdr:nvSpPr>
        <xdr:cNvPr id="6387" name="Arrow: Down 6386">
          <a:extLst>
            <a:ext uri="{FF2B5EF4-FFF2-40B4-BE49-F238E27FC236}">
              <a16:creationId xmlns:a16="http://schemas.microsoft.com/office/drawing/2014/main" id="{97E3E9FD-FFD6-4F2B-A283-538762700869}"/>
            </a:ext>
          </a:extLst>
        </xdr:cNvPr>
        <xdr:cNvSpPr/>
      </xdr:nvSpPr>
      <xdr:spPr>
        <a:xfrm>
          <a:off x="13403580" y="1493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819</xdr:row>
      <xdr:rowOff>0</xdr:rowOff>
    </xdr:from>
    <xdr:to>
      <xdr:col>45</xdr:col>
      <xdr:colOff>83820</xdr:colOff>
      <xdr:row>819</xdr:row>
      <xdr:rowOff>114300</xdr:rowOff>
    </xdr:to>
    <xdr:sp macro="" textlink="">
      <xdr:nvSpPr>
        <xdr:cNvPr id="6388" name="Arrow: Down 6387">
          <a:extLst>
            <a:ext uri="{FF2B5EF4-FFF2-40B4-BE49-F238E27FC236}">
              <a16:creationId xmlns:a16="http://schemas.microsoft.com/office/drawing/2014/main" id="{5CE74349-85A2-45C1-B072-D14D6C647EA1}"/>
            </a:ext>
          </a:extLst>
        </xdr:cNvPr>
        <xdr:cNvSpPr/>
      </xdr:nvSpPr>
      <xdr:spPr>
        <a:xfrm>
          <a:off x="1340358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822</xdr:row>
      <xdr:rowOff>0</xdr:rowOff>
    </xdr:from>
    <xdr:to>
      <xdr:col>60</xdr:col>
      <xdr:colOff>83820</xdr:colOff>
      <xdr:row>822</xdr:row>
      <xdr:rowOff>114300</xdr:rowOff>
    </xdr:to>
    <xdr:sp macro="" textlink="">
      <xdr:nvSpPr>
        <xdr:cNvPr id="6389" name="Arrow: Down 6388">
          <a:extLst>
            <a:ext uri="{FF2B5EF4-FFF2-40B4-BE49-F238E27FC236}">
              <a16:creationId xmlns:a16="http://schemas.microsoft.com/office/drawing/2014/main" id="{876A2CD4-136A-462A-AB5B-A26D599BABBB}"/>
            </a:ext>
          </a:extLst>
        </xdr:cNvPr>
        <xdr:cNvSpPr/>
      </xdr:nvSpPr>
      <xdr:spPr>
        <a:xfrm rot="10800000">
          <a:off x="1912620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803</xdr:row>
      <xdr:rowOff>0</xdr:rowOff>
    </xdr:from>
    <xdr:to>
      <xdr:col>60</xdr:col>
      <xdr:colOff>83820</xdr:colOff>
      <xdr:row>803</xdr:row>
      <xdr:rowOff>114300</xdr:rowOff>
    </xdr:to>
    <xdr:sp macro="" textlink="">
      <xdr:nvSpPr>
        <xdr:cNvPr id="6390" name="Arrow: Down 6389">
          <a:extLst>
            <a:ext uri="{FF2B5EF4-FFF2-40B4-BE49-F238E27FC236}">
              <a16:creationId xmlns:a16="http://schemas.microsoft.com/office/drawing/2014/main" id="{34474C66-4F9C-42CD-BB45-03FEB6834ADD}"/>
            </a:ext>
          </a:extLst>
        </xdr:cNvPr>
        <xdr:cNvSpPr/>
      </xdr:nvSpPr>
      <xdr:spPr>
        <a:xfrm rot="10800000">
          <a:off x="1912620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808</xdr:row>
      <xdr:rowOff>0</xdr:rowOff>
    </xdr:from>
    <xdr:to>
      <xdr:col>60</xdr:col>
      <xdr:colOff>83820</xdr:colOff>
      <xdr:row>808</xdr:row>
      <xdr:rowOff>114300</xdr:rowOff>
    </xdr:to>
    <xdr:sp macro="" textlink="">
      <xdr:nvSpPr>
        <xdr:cNvPr id="6391" name="Arrow: Down 6390">
          <a:extLst>
            <a:ext uri="{FF2B5EF4-FFF2-40B4-BE49-F238E27FC236}">
              <a16:creationId xmlns:a16="http://schemas.microsoft.com/office/drawing/2014/main" id="{40C4B6C1-44FA-4C6C-B849-918A306B2FE3}"/>
            </a:ext>
          </a:extLst>
        </xdr:cNvPr>
        <xdr:cNvSpPr/>
      </xdr:nvSpPr>
      <xdr:spPr>
        <a:xfrm rot="10800000">
          <a:off x="1912620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812</xdr:row>
      <xdr:rowOff>0</xdr:rowOff>
    </xdr:from>
    <xdr:to>
      <xdr:col>60</xdr:col>
      <xdr:colOff>83820</xdr:colOff>
      <xdr:row>812</xdr:row>
      <xdr:rowOff>114300</xdr:rowOff>
    </xdr:to>
    <xdr:sp macro="" textlink="">
      <xdr:nvSpPr>
        <xdr:cNvPr id="6392" name="Arrow: Down 6391">
          <a:extLst>
            <a:ext uri="{FF2B5EF4-FFF2-40B4-BE49-F238E27FC236}">
              <a16:creationId xmlns:a16="http://schemas.microsoft.com/office/drawing/2014/main" id="{B32D1F98-3E44-4CC3-899C-F3D05C2A9B1D}"/>
            </a:ext>
          </a:extLst>
        </xdr:cNvPr>
        <xdr:cNvSpPr/>
      </xdr:nvSpPr>
      <xdr:spPr>
        <a:xfrm rot="10800000">
          <a:off x="1912620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818</xdr:row>
      <xdr:rowOff>0</xdr:rowOff>
    </xdr:from>
    <xdr:to>
      <xdr:col>60</xdr:col>
      <xdr:colOff>83820</xdr:colOff>
      <xdr:row>818</xdr:row>
      <xdr:rowOff>114300</xdr:rowOff>
    </xdr:to>
    <xdr:sp macro="" textlink="">
      <xdr:nvSpPr>
        <xdr:cNvPr id="6393" name="Arrow: Down 6392">
          <a:extLst>
            <a:ext uri="{FF2B5EF4-FFF2-40B4-BE49-F238E27FC236}">
              <a16:creationId xmlns:a16="http://schemas.microsoft.com/office/drawing/2014/main" id="{1460DD4A-567A-4432-817F-90B04902C9EC}"/>
            </a:ext>
          </a:extLst>
        </xdr:cNvPr>
        <xdr:cNvSpPr/>
      </xdr:nvSpPr>
      <xdr:spPr>
        <a:xfrm rot="10800000">
          <a:off x="1912620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821</xdr:row>
      <xdr:rowOff>0</xdr:rowOff>
    </xdr:from>
    <xdr:to>
      <xdr:col>60</xdr:col>
      <xdr:colOff>83820</xdr:colOff>
      <xdr:row>821</xdr:row>
      <xdr:rowOff>114300</xdr:rowOff>
    </xdr:to>
    <xdr:sp macro="" textlink="">
      <xdr:nvSpPr>
        <xdr:cNvPr id="6394" name="Arrow: Down 6393">
          <a:extLst>
            <a:ext uri="{FF2B5EF4-FFF2-40B4-BE49-F238E27FC236}">
              <a16:creationId xmlns:a16="http://schemas.microsoft.com/office/drawing/2014/main" id="{77BF1912-BC33-453D-90A7-9E3AECEB9224}"/>
            </a:ext>
          </a:extLst>
        </xdr:cNvPr>
        <xdr:cNvSpPr/>
      </xdr:nvSpPr>
      <xdr:spPr>
        <a:xfrm rot="10800000">
          <a:off x="19126200" y="1502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804</xdr:row>
      <xdr:rowOff>0</xdr:rowOff>
    </xdr:from>
    <xdr:to>
      <xdr:col>60</xdr:col>
      <xdr:colOff>83820</xdr:colOff>
      <xdr:row>804</xdr:row>
      <xdr:rowOff>114300</xdr:rowOff>
    </xdr:to>
    <xdr:sp macro="" textlink="">
      <xdr:nvSpPr>
        <xdr:cNvPr id="6395" name="Arrow: Down 6394">
          <a:extLst>
            <a:ext uri="{FF2B5EF4-FFF2-40B4-BE49-F238E27FC236}">
              <a16:creationId xmlns:a16="http://schemas.microsoft.com/office/drawing/2014/main" id="{C41CC1EF-8EE7-4975-9709-9AF8FCCDC384}"/>
            </a:ext>
          </a:extLst>
        </xdr:cNvPr>
        <xdr:cNvSpPr/>
      </xdr:nvSpPr>
      <xdr:spPr>
        <a:xfrm rot="10800000">
          <a:off x="1912620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809</xdr:row>
      <xdr:rowOff>0</xdr:rowOff>
    </xdr:from>
    <xdr:to>
      <xdr:col>60</xdr:col>
      <xdr:colOff>83820</xdr:colOff>
      <xdr:row>809</xdr:row>
      <xdr:rowOff>114300</xdr:rowOff>
    </xdr:to>
    <xdr:sp macro="" textlink="">
      <xdr:nvSpPr>
        <xdr:cNvPr id="6397" name="Arrow: Down 6396">
          <a:extLst>
            <a:ext uri="{FF2B5EF4-FFF2-40B4-BE49-F238E27FC236}">
              <a16:creationId xmlns:a16="http://schemas.microsoft.com/office/drawing/2014/main" id="{90D399CF-0B77-48D2-83A8-AB3A0C735896}"/>
            </a:ext>
          </a:extLst>
        </xdr:cNvPr>
        <xdr:cNvSpPr/>
      </xdr:nvSpPr>
      <xdr:spPr>
        <a:xfrm rot="10800000">
          <a:off x="19126200" y="1480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814</xdr:row>
      <xdr:rowOff>0</xdr:rowOff>
    </xdr:from>
    <xdr:to>
      <xdr:col>60</xdr:col>
      <xdr:colOff>83820</xdr:colOff>
      <xdr:row>814</xdr:row>
      <xdr:rowOff>114300</xdr:rowOff>
    </xdr:to>
    <xdr:sp macro="" textlink="">
      <xdr:nvSpPr>
        <xdr:cNvPr id="6398" name="Arrow: Down 6397">
          <a:extLst>
            <a:ext uri="{FF2B5EF4-FFF2-40B4-BE49-F238E27FC236}">
              <a16:creationId xmlns:a16="http://schemas.microsoft.com/office/drawing/2014/main" id="{9EBE8E0B-887A-482E-8962-52C624502ABF}"/>
            </a:ext>
          </a:extLst>
        </xdr:cNvPr>
        <xdr:cNvSpPr/>
      </xdr:nvSpPr>
      <xdr:spPr>
        <a:xfrm rot="10800000">
          <a:off x="1912620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819</xdr:row>
      <xdr:rowOff>0</xdr:rowOff>
    </xdr:from>
    <xdr:to>
      <xdr:col>60</xdr:col>
      <xdr:colOff>83820</xdr:colOff>
      <xdr:row>819</xdr:row>
      <xdr:rowOff>114300</xdr:rowOff>
    </xdr:to>
    <xdr:sp macro="" textlink="">
      <xdr:nvSpPr>
        <xdr:cNvPr id="6399" name="Arrow: Down 6398">
          <a:extLst>
            <a:ext uri="{FF2B5EF4-FFF2-40B4-BE49-F238E27FC236}">
              <a16:creationId xmlns:a16="http://schemas.microsoft.com/office/drawing/2014/main" id="{2322A9A9-36A2-458B-AC61-47B5E7F2D770}"/>
            </a:ext>
          </a:extLst>
        </xdr:cNvPr>
        <xdr:cNvSpPr/>
      </xdr:nvSpPr>
      <xdr:spPr>
        <a:xfrm rot="10800000">
          <a:off x="1912620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815</xdr:row>
      <xdr:rowOff>0</xdr:rowOff>
    </xdr:from>
    <xdr:to>
      <xdr:col>60</xdr:col>
      <xdr:colOff>83820</xdr:colOff>
      <xdr:row>815</xdr:row>
      <xdr:rowOff>114300</xdr:rowOff>
    </xdr:to>
    <xdr:sp macro="" textlink="">
      <xdr:nvSpPr>
        <xdr:cNvPr id="6400" name="Arrow: Down 6399">
          <a:extLst>
            <a:ext uri="{FF2B5EF4-FFF2-40B4-BE49-F238E27FC236}">
              <a16:creationId xmlns:a16="http://schemas.microsoft.com/office/drawing/2014/main" id="{81AA5D9B-9B93-4210-BFE1-7FA26D3B5EC8}"/>
            </a:ext>
          </a:extLst>
        </xdr:cNvPr>
        <xdr:cNvSpPr/>
      </xdr:nvSpPr>
      <xdr:spPr>
        <a:xfrm rot="10800000">
          <a:off x="1912620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822</xdr:row>
      <xdr:rowOff>0</xdr:rowOff>
    </xdr:from>
    <xdr:to>
      <xdr:col>71</xdr:col>
      <xdr:colOff>83820</xdr:colOff>
      <xdr:row>822</xdr:row>
      <xdr:rowOff>114300</xdr:rowOff>
    </xdr:to>
    <xdr:sp macro="" textlink="">
      <xdr:nvSpPr>
        <xdr:cNvPr id="6401" name="Arrow: Down 6400">
          <a:extLst>
            <a:ext uri="{FF2B5EF4-FFF2-40B4-BE49-F238E27FC236}">
              <a16:creationId xmlns:a16="http://schemas.microsoft.com/office/drawing/2014/main" id="{B2F6468D-56B7-4127-BB84-A646FF863DFC}"/>
            </a:ext>
          </a:extLst>
        </xdr:cNvPr>
        <xdr:cNvSpPr/>
      </xdr:nvSpPr>
      <xdr:spPr>
        <a:xfrm rot="10800000">
          <a:off x="2200656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809</xdr:row>
      <xdr:rowOff>0</xdr:rowOff>
    </xdr:from>
    <xdr:to>
      <xdr:col>71</xdr:col>
      <xdr:colOff>83820</xdr:colOff>
      <xdr:row>809</xdr:row>
      <xdr:rowOff>114300</xdr:rowOff>
    </xdr:to>
    <xdr:sp macro="" textlink="">
      <xdr:nvSpPr>
        <xdr:cNvPr id="6403" name="Arrow: Down 6402">
          <a:extLst>
            <a:ext uri="{FF2B5EF4-FFF2-40B4-BE49-F238E27FC236}">
              <a16:creationId xmlns:a16="http://schemas.microsoft.com/office/drawing/2014/main" id="{1C5F556F-33A1-4E6D-BA99-08F5CD1009A2}"/>
            </a:ext>
          </a:extLst>
        </xdr:cNvPr>
        <xdr:cNvSpPr/>
      </xdr:nvSpPr>
      <xdr:spPr>
        <a:xfrm rot="10800000">
          <a:off x="22006560" y="1480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804</xdr:row>
      <xdr:rowOff>0</xdr:rowOff>
    </xdr:from>
    <xdr:to>
      <xdr:col>71</xdr:col>
      <xdr:colOff>83820</xdr:colOff>
      <xdr:row>804</xdr:row>
      <xdr:rowOff>114300</xdr:rowOff>
    </xdr:to>
    <xdr:sp macro="" textlink="">
      <xdr:nvSpPr>
        <xdr:cNvPr id="6405" name="Arrow: Down 6404">
          <a:extLst>
            <a:ext uri="{FF2B5EF4-FFF2-40B4-BE49-F238E27FC236}">
              <a16:creationId xmlns:a16="http://schemas.microsoft.com/office/drawing/2014/main" id="{583D21A7-28C9-4815-89C0-70AE2CA45DD3}"/>
            </a:ext>
          </a:extLst>
        </xdr:cNvPr>
        <xdr:cNvSpPr/>
      </xdr:nvSpPr>
      <xdr:spPr>
        <a:xfrm rot="10800000">
          <a:off x="2200656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812</xdr:row>
      <xdr:rowOff>0</xdr:rowOff>
    </xdr:from>
    <xdr:to>
      <xdr:col>71</xdr:col>
      <xdr:colOff>83820</xdr:colOff>
      <xdr:row>812</xdr:row>
      <xdr:rowOff>114300</xdr:rowOff>
    </xdr:to>
    <xdr:sp macro="" textlink="">
      <xdr:nvSpPr>
        <xdr:cNvPr id="6406" name="Arrow: Down 6405">
          <a:extLst>
            <a:ext uri="{FF2B5EF4-FFF2-40B4-BE49-F238E27FC236}">
              <a16:creationId xmlns:a16="http://schemas.microsoft.com/office/drawing/2014/main" id="{69DE2E2C-C2C9-41ED-AF20-D7A9C8C70FD8}"/>
            </a:ext>
          </a:extLst>
        </xdr:cNvPr>
        <xdr:cNvSpPr/>
      </xdr:nvSpPr>
      <xdr:spPr>
        <a:xfrm rot="10800000">
          <a:off x="2200656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818</xdr:row>
      <xdr:rowOff>0</xdr:rowOff>
    </xdr:from>
    <xdr:to>
      <xdr:col>71</xdr:col>
      <xdr:colOff>83820</xdr:colOff>
      <xdr:row>818</xdr:row>
      <xdr:rowOff>114300</xdr:rowOff>
    </xdr:to>
    <xdr:sp macro="" textlink="">
      <xdr:nvSpPr>
        <xdr:cNvPr id="6407" name="Arrow: Down 6406">
          <a:extLst>
            <a:ext uri="{FF2B5EF4-FFF2-40B4-BE49-F238E27FC236}">
              <a16:creationId xmlns:a16="http://schemas.microsoft.com/office/drawing/2014/main" id="{DD6A61DC-AB0F-41DD-9DF6-36962B6D6214}"/>
            </a:ext>
          </a:extLst>
        </xdr:cNvPr>
        <xdr:cNvSpPr/>
      </xdr:nvSpPr>
      <xdr:spPr>
        <a:xfrm rot="10800000">
          <a:off x="2200656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803</xdr:row>
      <xdr:rowOff>0</xdr:rowOff>
    </xdr:from>
    <xdr:to>
      <xdr:col>71</xdr:col>
      <xdr:colOff>83820</xdr:colOff>
      <xdr:row>803</xdr:row>
      <xdr:rowOff>114300</xdr:rowOff>
    </xdr:to>
    <xdr:sp macro="" textlink="">
      <xdr:nvSpPr>
        <xdr:cNvPr id="6408" name="Arrow: Down 6407">
          <a:extLst>
            <a:ext uri="{FF2B5EF4-FFF2-40B4-BE49-F238E27FC236}">
              <a16:creationId xmlns:a16="http://schemas.microsoft.com/office/drawing/2014/main" id="{855B9579-6364-4068-A0E8-BF16031688C2}"/>
            </a:ext>
          </a:extLst>
        </xdr:cNvPr>
        <xdr:cNvSpPr/>
      </xdr:nvSpPr>
      <xdr:spPr>
        <a:xfrm rot="10800000">
          <a:off x="2200656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808</xdr:row>
      <xdr:rowOff>0</xdr:rowOff>
    </xdr:from>
    <xdr:to>
      <xdr:col>71</xdr:col>
      <xdr:colOff>83820</xdr:colOff>
      <xdr:row>808</xdr:row>
      <xdr:rowOff>114300</xdr:rowOff>
    </xdr:to>
    <xdr:sp macro="" textlink="">
      <xdr:nvSpPr>
        <xdr:cNvPr id="6409" name="Arrow: Down 6408">
          <a:extLst>
            <a:ext uri="{FF2B5EF4-FFF2-40B4-BE49-F238E27FC236}">
              <a16:creationId xmlns:a16="http://schemas.microsoft.com/office/drawing/2014/main" id="{5BF97915-5C0F-4301-AB2A-812AB65098B1}"/>
            </a:ext>
          </a:extLst>
        </xdr:cNvPr>
        <xdr:cNvSpPr/>
      </xdr:nvSpPr>
      <xdr:spPr>
        <a:xfrm rot="10800000">
          <a:off x="2200656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814</xdr:row>
      <xdr:rowOff>0</xdr:rowOff>
    </xdr:from>
    <xdr:to>
      <xdr:col>71</xdr:col>
      <xdr:colOff>83820</xdr:colOff>
      <xdr:row>814</xdr:row>
      <xdr:rowOff>114300</xdr:rowOff>
    </xdr:to>
    <xdr:sp macro="" textlink="">
      <xdr:nvSpPr>
        <xdr:cNvPr id="6410" name="Arrow: Down 6409">
          <a:extLst>
            <a:ext uri="{FF2B5EF4-FFF2-40B4-BE49-F238E27FC236}">
              <a16:creationId xmlns:a16="http://schemas.microsoft.com/office/drawing/2014/main" id="{E072A899-4963-4F5C-B3D1-8E7BF604DC48}"/>
            </a:ext>
          </a:extLst>
        </xdr:cNvPr>
        <xdr:cNvSpPr/>
      </xdr:nvSpPr>
      <xdr:spPr>
        <a:xfrm rot="10800000">
          <a:off x="2200656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819</xdr:row>
      <xdr:rowOff>0</xdr:rowOff>
    </xdr:from>
    <xdr:to>
      <xdr:col>71</xdr:col>
      <xdr:colOff>83820</xdr:colOff>
      <xdr:row>819</xdr:row>
      <xdr:rowOff>114300</xdr:rowOff>
    </xdr:to>
    <xdr:sp macro="" textlink="">
      <xdr:nvSpPr>
        <xdr:cNvPr id="6411" name="Arrow: Down 6410">
          <a:extLst>
            <a:ext uri="{FF2B5EF4-FFF2-40B4-BE49-F238E27FC236}">
              <a16:creationId xmlns:a16="http://schemas.microsoft.com/office/drawing/2014/main" id="{368EB8FF-1B09-4D98-AFA7-A3C7C48C31D8}"/>
            </a:ext>
          </a:extLst>
        </xdr:cNvPr>
        <xdr:cNvSpPr/>
      </xdr:nvSpPr>
      <xdr:spPr>
        <a:xfrm rot="10800000">
          <a:off x="2200656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815</xdr:row>
      <xdr:rowOff>0</xdr:rowOff>
    </xdr:from>
    <xdr:to>
      <xdr:col>71</xdr:col>
      <xdr:colOff>83820</xdr:colOff>
      <xdr:row>815</xdr:row>
      <xdr:rowOff>114300</xdr:rowOff>
    </xdr:to>
    <xdr:sp macro="" textlink="">
      <xdr:nvSpPr>
        <xdr:cNvPr id="6413" name="Arrow: Down 6412">
          <a:extLst>
            <a:ext uri="{FF2B5EF4-FFF2-40B4-BE49-F238E27FC236}">
              <a16:creationId xmlns:a16="http://schemas.microsoft.com/office/drawing/2014/main" id="{387BE6A7-C207-44D1-8234-97F205CA7250}"/>
            </a:ext>
          </a:extLst>
        </xdr:cNvPr>
        <xdr:cNvSpPr/>
      </xdr:nvSpPr>
      <xdr:spPr>
        <a:xfrm rot="10800000">
          <a:off x="2200656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821</xdr:row>
      <xdr:rowOff>0</xdr:rowOff>
    </xdr:from>
    <xdr:to>
      <xdr:col>71</xdr:col>
      <xdr:colOff>83820</xdr:colOff>
      <xdr:row>821</xdr:row>
      <xdr:rowOff>114300</xdr:rowOff>
    </xdr:to>
    <xdr:sp macro="" textlink="">
      <xdr:nvSpPr>
        <xdr:cNvPr id="6414" name="Arrow: Down 6413">
          <a:extLst>
            <a:ext uri="{FF2B5EF4-FFF2-40B4-BE49-F238E27FC236}">
              <a16:creationId xmlns:a16="http://schemas.microsoft.com/office/drawing/2014/main" id="{6DE796AB-DD05-471F-9655-256B0EC2FBCC}"/>
            </a:ext>
          </a:extLst>
        </xdr:cNvPr>
        <xdr:cNvSpPr/>
      </xdr:nvSpPr>
      <xdr:spPr>
        <a:xfrm rot="10800000">
          <a:off x="22006560" y="1502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823</xdr:row>
      <xdr:rowOff>0</xdr:rowOff>
    </xdr:from>
    <xdr:to>
      <xdr:col>71</xdr:col>
      <xdr:colOff>83820</xdr:colOff>
      <xdr:row>823</xdr:row>
      <xdr:rowOff>114300</xdr:rowOff>
    </xdr:to>
    <xdr:sp macro="" textlink="">
      <xdr:nvSpPr>
        <xdr:cNvPr id="6415" name="Arrow: Down 6414">
          <a:extLst>
            <a:ext uri="{FF2B5EF4-FFF2-40B4-BE49-F238E27FC236}">
              <a16:creationId xmlns:a16="http://schemas.microsoft.com/office/drawing/2014/main" id="{2D0434BB-8242-4326-B371-3DDF4DD932C7}"/>
            </a:ext>
          </a:extLst>
        </xdr:cNvPr>
        <xdr:cNvSpPr/>
      </xdr:nvSpPr>
      <xdr:spPr>
        <a:xfrm rot="10800000">
          <a:off x="22006560" y="1506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824</xdr:row>
      <xdr:rowOff>0</xdr:rowOff>
    </xdr:from>
    <xdr:to>
      <xdr:col>64</xdr:col>
      <xdr:colOff>83820</xdr:colOff>
      <xdr:row>824</xdr:row>
      <xdr:rowOff>114300</xdr:rowOff>
    </xdr:to>
    <xdr:sp macro="" textlink="">
      <xdr:nvSpPr>
        <xdr:cNvPr id="5973" name="Arrow: Down 5972">
          <a:extLst>
            <a:ext uri="{FF2B5EF4-FFF2-40B4-BE49-F238E27FC236}">
              <a16:creationId xmlns:a16="http://schemas.microsoft.com/office/drawing/2014/main" id="{57AB4A89-89E5-47B1-B2B3-A7816BEE4CAC}"/>
            </a:ext>
          </a:extLst>
        </xdr:cNvPr>
        <xdr:cNvSpPr/>
      </xdr:nvSpPr>
      <xdr:spPr>
        <a:xfrm rot="10800000">
          <a:off x="19392900" y="150609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824</xdr:row>
      <xdr:rowOff>0</xdr:rowOff>
    </xdr:from>
    <xdr:to>
      <xdr:col>39</xdr:col>
      <xdr:colOff>83820</xdr:colOff>
      <xdr:row>824</xdr:row>
      <xdr:rowOff>114300</xdr:rowOff>
    </xdr:to>
    <xdr:sp macro="" textlink="">
      <xdr:nvSpPr>
        <xdr:cNvPr id="5991" name="Arrow: Down 5990">
          <a:extLst>
            <a:ext uri="{FF2B5EF4-FFF2-40B4-BE49-F238E27FC236}">
              <a16:creationId xmlns:a16="http://schemas.microsoft.com/office/drawing/2014/main" id="{F276A438-B67C-4EF9-8D03-7ED6CBB74E14}"/>
            </a:ext>
          </a:extLst>
        </xdr:cNvPr>
        <xdr:cNvSpPr/>
      </xdr:nvSpPr>
      <xdr:spPr>
        <a:xfrm rot="10800000">
          <a:off x="11544300" y="15060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824</xdr:row>
      <xdr:rowOff>0</xdr:rowOff>
    </xdr:from>
    <xdr:to>
      <xdr:col>45</xdr:col>
      <xdr:colOff>83820</xdr:colOff>
      <xdr:row>824</xdr:row>
      <xdr:rowOff>114300</xdr:rowOff>
    </xdr:to>
    <xdr:sp macro="" textlink="">
      <xdr:nvSpPr>
        <xdr:cNvPr id="5993" name="Arrow: Down 5992">
          <a:extLst>
            <a:ext uri="{FF2B5EF4-FFF2-40B4-BE49-F238E27FC236}">
              <a16:creationId xmlns:a16="http://schemas.microsoft.com/office/drawing/2014/main" id="{0D41090B-79D0-4E3C-961D-4D29E2BCB1E2}"/>
            </a:ext>
          </a:extLst>
        </xdr:cNvPr>
        <xdr:cNvSpPr/>
      </xdr:nvSpPr>
      <xdr:spPr>
        <a:xfrm rot="10800000">
          <a:off x="13403580" y="15060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824</xdr:row>
      <xdr:rowOff>0</xdr:rowOff>
    </xdr:from>
    <xdr:to>
      <xdr:col>71</xdr:col>
      <xdr:colOff>83820</xdr:colOff>
      <xdr:row>824</xdr:row>
      <xdr:rowOff>114300</xdr:rowOff>
    </xdr:to>
    <xdr:sp macro="" textlink="">
      <xdr:nvSpPr>
        <xdr:cNvPr id="5995" name="Arrow: Down 5994">
          <a:extLst>
            <a:ext uri="{FF2B5EF4-FFF2-40B4-BE49-F238E27FC236}">
              <a16:creationId xmlns:a16="http://schemas.microsoft.com/office/drawing/2014/main" id="{59A727B9-9012-4FD2-993C-5348FE9A29E0}"/>
            </a:ext>
          </a:extLst>
        </xdr:cNvPr>
        <xdr:cNvSpPr/>
      </xdr:nvSpPr>
      <xdr:spPr>
        <a:xfrm rot="10800000">
          <a:off x="22006560" y="1506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825</xdr:row>
      <xdr:rowOff>0</xdr:rowOff>
    </xdr:from>
    <xdr:to>
      <xdr:col>64</xdr:col>
      <xdr:colOff>83820</xdr:colOff>
      <xdr:row>825</xdr:row>
      <xdr:rowOff>114300</xdr:rowOff>
    </xdr:to>
    <xdr:sp macro="" textlink="">
      <xdr:nvSpPr>
        <xdr:cNvPr id="6029" name="Arrow: Down 6028">
          <a:extLst>
            <a:ext uri="{FF2B5EF4-FFF2-40B4-BE49-F238E27FC236}">
              <a16:creationId xmlns:a16="http://schemas.microsoft.com/office/drawing/2014/main" id="{9F17E88A-DA15-4FB3-9045-AC2C6906E10D}"/>
            </a:ext>
          </a:extLst>
        </xdr:cNvPr>
        <xdr:cNvSpPr/>
      </xdr:nvSpPr>
      <xdr:spPr>
        <a:xfrm rot="10800000">
          <a:off x="19392900" y="150792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825</xdr:row>
      <xdr:rowOff>0</xdr:rowOff>
    </xdr:from>
    <xdr:to>
      <xdr:col>39</xdr:col>
      <xdr:colOff>83820</xdr:colOff>
      <xdr:row>825</xdr:row>
      <xdr:rowOff>114300</xdr:rowOff>
    </xdr:to>
    <xdr:sp macro="" textlink="">
      <xdr:nvSpPr>
        <xdr:cNvPr id="6087" name="Arrow: Down 6086">
          <a:extLst>
            <a:ext uri="{FF2B5EF4-FFF2-40B4-BE49-F238E27FC236}">
              <a16:creationId xmlns:a16="http://schemas.microsoft.com/office/drawing/2014/main" id="{F8FD3558-7CAB-4A46-81C3-F552E96EA5C9}"/>
            </a:ext>
          </a:extLst>
        </xdr:cNvPr>
        <xdr:cNvSpPr/>
      </xdr:nvSpPr>
      <xdr:spPr>
        <a:xfrm rot="10800000">
          <a:off x="11544300" y="15079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825</xdr:row>
      <xdr:rowOff>0</xdr:rowOff>
    </xdr:from>
    <xdr:to>
      <xdr:col>45</xdr:col>
      <xdr:colOff>83820</xdr:colOff>
      <xdr:row>825</xdr:row>
      <xdr:rowOff>114300</xdr:rowOff>
    </xdr:to>
    <xdr:sp macro="" textlink="">
      <xdr:nvSpPr>
        <xdr:cNvPr id="6110" name="Arrow: Down 6109">
          <a:extLst>
            <a:ext uri="{FF2B5EF4-FFF2-40B4-BE49-F238E27FC236}">
              <a16:creationId xmlns:a16="http://schemas.microsoft.com/office/drawing/2014/main" id="{854B90A9-B0CE-4FC4-BF95-C3F324F187AF}"/>
            </a:ext>
          </a:extLst>
        </xdr:cNvPr>
        <xdr:cNvSpPr/>
      </xdr:nvSpPr>
      <xdr:spPr>
        <a:xfrm rot="10800000">
          <a:off x="13403580" y="15079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825</xdr:row>
      <xdr:rowOff>0</xdr:rowOff>
    </xdr:from>
    <xdr:to>
      <xdr:col>71</xdr:col>
      <xdr:colOff>83820</xdr:colOff>
      <xdr:row>825</xdr:row>
      <xdr:rowOff>114300</xdr:rowOff>
    </xdr:to>
    <xdr:sp macro="" textlink="">
      <xdr:nvSpPr>
        <xdr:cNvPr id="6158" name="Arrow: Down 6157">
          <a:extLst>
            <a:ext uri="{FF2B5EF4-FFF2-40B4-BE49-F238E27FC236}">
              <a16:creationId xmlns:a16="http://schemas.microsoft.com/office/drawing/2014/main" id="{4689905F-C2AC-4C16-BD58-4982D39099A2}"/>
            </a:ext>
          </a:extLst>
        </xdr:cNvPr>
        <xdr:cNvSpPr/>
      </xdr:nvSpPr>
      <xdr:spPr>
        <a:xfrm rot="10800000">
          <a:off x="2200656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826</xdr:row>
      <xdr:rowOff>0</xdr:rowOff>
    </xdr:from>
    <xdr:to>
      <xdr:col>64</xdr:col>
      <xdr:colOff>83820</xdr:colOff>
      <xdr:row>826</xdr:row>
      <xdr:rowOff>114300</xdr:rowOff>
    </xdr:to>
    <xdr:sp macro="" textlink="">
      <xdr:nvSpPr>
        <xdr:cNvPr id="6161" name="Arrow: Down 6160">
          <a:extLst>
            <a:ext uri="{FF2B5EF4-FFF2-40B4-BE49-F238E27FC236}">
              <a16:creationId xmlns:a16="http://schemas.microsoft.com/office/drawing/2014/main" id="{9C24963E-498C-436E-8B3B-B0361E3899F4}"/>
            </a:ext>
          </a:extLst>
        </xdr:cNvPr>
        <xdr:cNvSpPr/>
      </xdr:nvSpPr>
      <xdr:spPr>
        <a:xfrm rot="10800000">
          <a:off x="19392900" y="150975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826</xdr:row>
      <xdr:rowOff>0</xdr:rowOff>
    </xdr:from>
    <xdr:to>
      <xdr:col>60</xdr:col>
      <xdr:colOff>83820</xdr:colOff>
      <xdr:row>826</xdr:row>
      <xdr:rowOff>114300</xdr:rowOff>
    </xdr:to>
    <xdr:sp macro="" textlink="">
      <xdr:nvSpPr>
        <xdr:cNvPr id="6163" name="Arrow: Down 6162">
          <a:extLst>
            <a:ext uri="{FF2B5EF4-FFF2-40B4-BE49-F238E27FC236}">
              <a16:creationId xmlns:a16="http://schemas.microsoft.com/office/drawing/2014/main" id="{6232D77F-416E-48A8-A709-130AEC7E1DA1}"/>
            </a:ext>
          </a:extLst>
        </xdr:cNvPr>
        <xdr:cNvSpPr/>
      </xdr:nvSpPr>
      <xdr:spPr>
        <a:xfrm>
          <a:off x="19126200" y="1509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826</xdr:row>
      <xdr:rowOff>0</xdr:rowOff>
    </xdr:from>
    <xdr:to>
      <xdr:col>39</xdr:col>
      <xdr:colOff>83820</xdr:colOff>
      <xdr:row>826</xdr:row>
      <xdr:rowOff>114300</xdr:rowOff>
    </xdr:to>
    <xdr:sp macro="" textlink="">
      <xdr:nvSpPr>
        <xdr:cNvPr id="6166" name="Arrow: Down 6165">
          <a:extLst>
            <a:ext uri="{FF2B5EF4-FFF2-40B4-BE49-F238E27FC236}">
              <a16:creationId xmlns:a16="http://schemas.microsoft.com/office/drawing/2014/main" id="{830E3C27-8794-4019-B913-6E820F64132C}"/>
            </a:ext>
          </a:extLst>
        </xdr:cNvPr>
        <xdr:cNvSpPr/>
      </xdr:nvSpPr>
      <xdr:spPr>
        <a:xfrm rot="10800000">
          <a:off x="11544300" y="15097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826</xdr:row>
      <xdr:rowOff>0</xdr:rowOff>
    </xdr:from>
    <xdr:to>
      <xdr:col>45</xdr:col>
      <xdr:colOff>83820</xdr:colOff>
      <xdr:row>826</xdr:row>
      <xdr:rowOff>114300</xdr:rowOff>
    </xdr:to>
    <xdr:sp macro="" textlink="">
      <xdr:nvSpPr>
        <xdr:cNvPr id="6167" name="Arrow: Down 6166">
          <a:extLst>
            <a:ext uri="{FF2B5EF4-FFF2-40B4-BE49-F238E27FC236}">
              <a16:creationId xmlns:a16="http://schemas.microsoft.com/office/drawing/2014/main" id="{E0966E6F-D9C6-4287-B614-0B1E2F516955}"/>
            </a:ext>
          </a:extLst>
        </xdr:cNvPr>
        <xdr:cNvSpPr/>
      </xdr:nvSpPr>
      <xdr:spPr>
        <a:xfrm rot="10800000">
          <a:off x="13403580" y="15097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826</xdr:row>
      <xdr:rowOff>0</xdr:rowOff>
    </xdr:from>
    <xdr:to>
      <xdr:col>71</xdr:col>
      <xdr:colOff>83820</xdr:colOff>
      <xdr:row>826</xdr:row>
      <xdr:rowOff>114300</xdr:rowOff>
    </xdr:to>
    <xdr:sp macro="" textlink="">
      <xdr:nvSpPr>
        <xdr:cNvPr id="6168" name="Arrow: Down 6167">
          <a:extLst>
            <a:ext uri="{FF2B5EF4-FFF2-40B4-BE49-F238E27FC236}">
              <a16:creationId xmlns:a16="http://schemas.microsoft.com/office/drawing/2014/main" id="{76805DF5-E7A0-4529-93D4-32942A840D69}"/>
            </a:ext>
          </a:extLst>
        </xdr:cNvPr>
        <xdr:cNvSpPr/>
      </xdr:nvSpPr>
      <xdr:spPr>
        <a:xfrm rot="10800000">
          <a:off x="2200656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827</xdr:row>
      <xdr:rowOff>0</xdr:rowOff>
    </xdr:from>
    <xdr:to>
      <xdr:col>64</xdr:col>
      <xdr:colOff>83820</xdr:colOff>
      <xdr:row>827</xdr:row>
      <xdr:rowOff>114300</xdr:rowOff>
    </xdr:to>
    <xdr:sp macro="" textlink="">
      <xdr:nvSpPr>
        <xdr:cNvPr id="6169" name="Arrow: Down 6168">
          <a:extLst>
            <a:ext uri="{FF2B5EF4-FFF2-40B4-BE49-F238E27FC236}">
              <a16:creationId xmlns:a16="http://schemas.microsoft.com/office/drawing/2014/main" id="{9A239B6C-1E2A-4111-BA54-0070CEC4EF3B}"/>
            </a:ext>
          </a:extLst>
        </xdr:cNvPr>
        <xdr:cNvSpPr/>
      </xdr:nvSpPr>
      <xdr:spPr>
        <a:xfrm rot="10800000">
          <a:off x="19392900" y="151157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827</xdr:row>
      <xdr:rowOff>0</xdr:rowOff>
    </xdr:from>
    <xdr:to>
      <xdr:col>24</xdr:col>
      <xdr:colOff>83820</xdr:colOff>
      <xdr:row>827</xdr:row>
      <xdr:rowOff>114300</xdr:rowOff>
    </xdr:to>
    <xdr:sp macro="" textlink="">
      <xdr:nvSpPr>
        <xdr:cNvPr id="6170" name="Arrow: Down 6169">
          <a:extLst>
            <a:ext uri="{FF2B5EF4-FFF2-40B4-BE49-F238E27FC236}">
              <a16:creationId xmlns:a16="http://schemas.microsoft.com/office/drawing/2014/main" id="{FB65DAB1-CE56-48EA-BBEA-F7D9381C30E7}"/>
            </a:ext>
          </a:extLst>
        </xdr:cNvPr>
        <xdr:cNvSpPr/>
      </xdr:nvSpPr>
      <xdr:spPr>
        <a:xfrm>
          <a:off x="8336280" y="1511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83820</xdr:colOff>
      <xdr:row>827</xdr:row>
      <xdr:rowOff>114300</xdr:rowOff>
    </xdr:to>
    <xdr:sp macro="" textlink="">
      <xdr:nvSpPr>
        <xdr:cNvPr id="6172" name="Arrow: Down 6171">
          <a:extLst>
            <a:ext uri="{FF2B5EF4-FFF2-40B4-BE49-F238E27FC236}">
              <a16:creationId xmlns:a16="http://schemas.microsoft.com/office/drawing/2014/main" id="{82A834D8-B359-486C-B803-91F50B3858AA}"/>
            </a:ext>
          </a:extLst>
        </xdr:cNvPr>
        <xdr:cNvSpPr/>
      </xdr:nvSpPr>
      <xdr:spPr>
        <a:xfrm>
          <a:off x="1927860" y="1511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827</xdr:row>
      <xdr:rowOff>0</xdr:rowOff>
    </xdr:from>
    <xdr:to>
      <xdr:col>11</xdr:col>
      <xdr:colOff>83820</xdr:colOff>
      <xdr:row>827</xdr:row>
      <xdr:rowOff>114300</xdr:rowOff>
    </xdr:to>
    <xdr:sp macro="" textlink="">
      <xdr:nvSpPr>
        <xdr:cNvPr id="6175" name="Arrow: Down 6174">
          <a:extLst>
            <a:ext uri="{FF2B5EF4-FFF2-40B4-BE49-F238E27FC236}">
              <a16:creationId xmlns:a16="http://schemas.microsoft.com/office/drawing/2014/main" id="{902E3FEF-0042-4583-B3CA-38A2CA9B48EB}"/>
            </a:ext>
          </a:extLst>
        </xdr:cNvPr>
        <xdr:cNvSpPr/>
      </xdr:nvSpPr>
      <xdr:spPr>
        <a:xfrm>
          <a:off x="3695700" y="1511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827</xdr:row>
      <xdr:rowOff>0</xdr:rowOff>
    </xdr:from>
    <xdr:to>
      <xdr:col>45</xdr:col>
      <xdr:colOff>83820</xdr:colOff>
      <xdr:row>827</xdr:row>
      <xdr:rowOff>114300</xdr:rowOff>
    </xdr:to>
    <xdr:sp macro="" textlink="">
      <xdr:nvSpPr>
        <xdr:cNvPr id="6179" name="Arrow: Down 6178">
          <a:extLst>
            <a:ext uri="{FF2B5EF4-FFF2-40B4-BE49-F238E27FC236}">
              <a16:creationId xmlns:a16="http://schemas.microsoft.com/office/drawing/2014/main" id="{30BFFEBA-B3FE-4940-B6E2-AC460C16D603}"/>
            </a:ext>
          </a:extLst>
        </xdr:cNvPr>
        <xdr:cNvSpPr/>
      </xdr:nvSpPr>
      <xdr:spPr>
        <a:xfrm rot="10800000">
          <a:off x="13403580" y="15115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827</xdr:row>
      <xdr:rowOff>0</xdr:rowOff>
    </xdr:from>
    <xdr:to>
      <xdr:col>71</xdr:col>
      <xdr:colOff>83820</xdr:colOff>
      <xdr:row>827</xdr:row>
      <xdr:rowOff>114300</xdr:rowOff>
    </xdr:to>
    <xdr:sp macro="" textlink="">
      <xdr:nvSpPr>
        <xdr:cNvPr id="6180" name="Arrow: Down 6179">
          <a:extLst>
            <a:ext uri="{FF2B5EF4-FFF2-40B4-BE49-F238E27FC236}">
              <a16:creationId xmlns:a16="http://schemas.microsoft.com/office/drawing/2014/main" id="{D63D1573-2CD0-4287-B85F-F58D31E493F0}"/>
            </a:ext>
          </a:extLst>
        </xdr:cNvPr>
        <xdr:cNvSpPr/>
      </xdr:nvSpPr>
      <xdr:spPr>
        <a:xfrm rot="10800000">
          <a:off x="2200656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828</xdr:row>
      <xdr:rowOff>0</xdr:rowOff>
    </xdr:from>
    <xdr:to>
      <xdr:col>64</xdr:col>
      <xdr:colOff>83820</xdr:colOff>
      <xdr:row>828</xdr:row>
      <xdr:rowOff>114300</xdr:rowOff>
    </xdr:to>
    <xdr:sp macro="" textlink="">
      <xdr:nvSpPr>
        <xdr:cNvPr id="6183" name="Arrow: Down 6182">
          <a:extLst>
            <a:ext uri="{FF2B5EF4-FFF2-40B4-BE49-F238E27FC236}">
              <a16:creationId xmlns:a16="http://schemas.microsoft.com/office/drawing/2014/main" id="{7C5FED40-A9A7-416D-9411-0571BB62E0AF}"/>
            </a:ext>
          </a:extLst>
        </xdr:cNvPr>
        <xdr:cNvSpPr/>
      </xdr:nvSpPr>
      <xdr:spPr>
        <a:xfrm rot="10800000">
          <a:off x="19392900" y="151340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828</xdr:row>
      <xdr:rowOff>0</xdr:rowOff>
    </xdr:from>
    <xdr:to>
      <xdr:col>24</xdr:col>
      <xdr:colOff>83820</xdr:colOff>
      <xdr:row>828</xdr:row>
      <xdr:rowOff>114300</xdr:rowOff>
    </xdr:to>
    <xdr:sp macro="" textlink="">
      <xdr:nvSpPr>
        <xdr:cNvPr id="6184" name="Arrow: Down 6183">
          <a:extLst>
            <a:ext uri="{FF2B5EF4-FFF2-40B4-BE49-F238E27FC236}">
              <a16:creationId xmlns:a16="http://schemas.microsoft.com/office/drawing/2014/main" id="{8D647D5C-751F-4B16-8BE5-9D54F9F625F1}"/>
            </a:ext>
          </a:extLst>
        </xdr:cNvPr>
        <xdr:cNvSpPr/>
      </xdr:nvSpPr>
      <xdr:spPr>
        <a:xfrm>
          <a:off x="833628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828</xdr:row>
      <xdr:rowOff>0</xdr:rowOff>
    </xdr:from>
    <xdr:to>
      <xdr:col>60</xdr:col>
      <xdr:colOff>83820</xdr:colOff>
      <xdr:row>828</xdr:row>
      <xdr:rowOff>114300</xdr:rowOff>
    </xdr:to>
    <xdr:sp macro="" textlink="">
      <xdr:nvSpPr>
        <xdr:cNvPr id="6193" name="Arrow: Down 6192">
          <a:extLst>
            <a:ext uri="{FF2B5EF4-FFF2-40B4-BE49-F238E27FC236}">
              <a16:creationId xmlns:a16="http://schemas.microsoft.com/office/drawing/2014/main" id="{20388520-4A39-46BA-8B44-CD701AC3803C}"/>
            </a:ext>
          </a:extLst>
        </xdr:cNvPr>
        <xdr:cNvSpPr/>
      </xdr:nvSpPr>
      <xdr:spPr>
        <a:xfrm>
          <a:off x="1912620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828</xdr:row>
      <xdr:rowOff>0</xdr:rowOff>
    </xdr:from>
    <xdr:to>
      <xdr:col>5</xdr:col>
      <xdr:colOff>83820</xdr:colOff>
      <xdr:row>828</xdr:row>
      <xdr:rowOff>114300</xdr:rowOff>
    </xdr:to>
    <xdr:sp macro="" textlink="">
      <xdr:nvSpPr>
        <xdr:cNvPr id="6194" name="Arrow: Down 6193">
          <a:extLst>
            <a:ext uri="{FF2B5EF4-FFF2-40B4-BE49-F238E27FC236}">
              <a16:creationId xmlns:a16="http://schemas.microsoft.com/office/drawing/2014/main" id="{0D4F64CC-1A22-4D28-82BA-EDF5CC855E26}"/>
            </a:ext>
          </a:extLst>
        </xdr:cNvPr>
        <xdr:cNvSpPr/>
      </xdr:nvSpPr>
      <xdr:spPr>
        <a:xfrm>
          <a:off x="192786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828</xdr:row>
      <xdr:rowOff>0</xdr:rowOff>
    </xdr:from>
    <xdr:to>
      <xdr:col>11</xdr:col>
      <xdr:colOff>83820</xdr:colOff>
      <xdr:row>828</xdr:row>
      <xdr:rowOff>114300</xdr:rowOff>
    </xdr:to>
    <xdr:sp macro="" textlink="">
      <xdr:nvSpPr>
        <xdr:cNvPr id="6195" name="Arrow: Down 6194">
          <a:extLst>
            <a:ext uri="{FF2B5EF4-FFF2-40B4-BE49-F238E27FC236}">
              <a16:creationId xmlns:a16="http://schemas.microsoft.com/office/drawing/2014/main" id="{40C3556A-9964-4955-B73D-74FA99776086}"/>
            </a:ext>
          </a:extLst>
        </xdr:cNvPr>
        <xdr:cNvSpPr/>
      </xdr:nvSpPr>
      <xdr:spPr>
        <a:xfrm>
          <a:off x="369570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828</xdr:row>
      <xdr:rowOff>0</xdr:rowOff>
    </xdr:from>
    <xdr:to>
      <xdr:col>45</xdr:col>
      <xdr:colOff>83820</xdr:colOff>
      <xdr:row>828</xdr:row>
      <xdr:rowOff>114300</xdr:rowOff>
    </xdr:to>
    <xdr:sp macro="" textlink="">
      <xdr:nvSpPr>
        <xdr:cNvPr id="6198" name="Arrow: Down 6197">
          <a:extLst>
            <a:ext uri="{FF2B5EF4-FFF2-40B4-BE49-F238E27FC236}">
              <a16:creationId xmlns:a16="http://schemas.microsoft.com/office/drawing/2014/main" id="{EC4E0444-61AE-4922-A542-60A937A3C5E5}"/>
            </a:ext>
          </a:extLst>
        </xdr:cNvPr>
        <xdr:cNvSpPr/>
      </xdr:nvSpPr>
      <xdr:spPr>
        <a:xfrm rot="10800000">
          <a:off x="13403580" y="151340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828</xdr:row>
      <xdr:rowOff>0</xdr:rowOff>
    </xdr:from>
    <xdr:to>
      <xdr:col>71</xdr:col>
      <xdr:colOff>83820</xdr:colOff>
      <xdr:row>828</xdr:row>
      <xdr:rowOff>114300</xdr:rowOff>
    </xdr:to>
    <xdr:sp macro="" textlink="">
      <xdr:nvSpPr>
        <xdr:cNvPr id="6201" name="Arrow: Down 6200">
          <a:extLst>
            <a:ext uri="{FF2B5EF4-FFF2-40B4-BE49-F238E27FC236}">
              <a16:creationId xmlns:a16="http://schemas.microsoft.com/office/drawing/2014/main" id="{3B2D8978-E34A-481D-AE99-0553750465B9}"/>
            </a:ext>
          </a:extLst>
        </xdr:cNvPr>
        <xdr:cNvSpPr/>
      </xdr:nvSpPr>
      <xdr:spPr>
        <a:xfrm rot="10800000">
          <a:off x="22006560" y="1513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829</xdr:row>
      <xdr:rowOff>0</xdr:rowOff>
    </xdr:from>
    <xdr:to>
      <xdr:col>64</xdr:col>
      <xdr:colOff>83820</xdr:colOff>
      <xdr:row>829</xdr:row>
      <xdr:rowOff>114300</xdr:rowOff>
    </xdr:to>
    <xdr:sp macro="" textlink="">
      <xdr:nvSpPr>
        <xdr:cNvPr id="6202" name="Arrow: Down 6201">
          <a:extLst>
            <a:ext uri="{FF2B5EF4-FFF2-40B4-BE49-F238E27FC236}">
              <a16:creationId xmlns:a16="http://schemas.microsoft.com/office/drawing/2014/main" id="{9A131739-75C8-4481-9646-482D8CCC8518}"/>
            </a:ext>
          </a:extLst>
        </xdr:cNvPr>
        <xdr:cNvSpPr/>
      </xdr:nvSpPr>
      <xdr:spPr>
        <a:xfrm rot="10800000">
          <a:off x="19392900" y="151523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829</xdr:row>
      <xdr:rowOff>0</xdr:rowOff>
    </xdr:from>
    <xdr:to>
      <xdr:col>24</xdr:col>
      <xdr:colOff>83820</xdr:colOff>
      <xdr:row>829</xdr:row>
      <xdr:rowOff>114300</xdr:rowOff>
    </xdr:to>
    <xdr:sp macro="" textlink="">
      <xdr:nvSpPr>
        <xdr:cNvPr id="6205" name="Arrow: Down 6204">
          <a:extLst>
            <a:ext uri="{FF2B5EF4-FFF2-40B4-BE49-F238E27FC236}">
              <a16:creationId xmlns:a16="http://schemas.microsoft.com/office/drawing/2014/main" id="{83AE2FF1-0453-4867-8BD8-64B81858FB92}"/>
            </a:ext>
          </a:extLst>
        </xdr:cNvPr>
        <xdr:cNvSpPr/>
      </xdr:nvSpPr>
      <xdr:spPr>
        <a:xfrm>
          <a:off x="8336280" y="1515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829</xdr:row>
      <xdr:rowOff>0</xdr:rowOff>
    </xdr:from>
    <xdr:to>
      <xdr:col>5</xdr:col>
      <xdr:colOff>83820</xdr:colOff>
      <xdr:row>829</xdr:row>
      <xdr:rowOff>114300</xdr:rowOff>
    </xdr:to>
    <xdr:sp macro="" textlink="">
      <xdr:nvSpPr>
        <xdr:cNvPr id="6207" name="Arrow: Down 6206">
          <a:extLst>
            <a:ext uri="{FF2B5EF4-FFF2-40B4-BE49-F238E27FC236}">
              <a16:creationId xmlns:a16="http://schemas.microsoft.com/office/drawing/2014/main" id="{93E85ECC-671A-45E1-9BFF-F37154528356}"/>
            </a:ext>
          </a:extLst>
        </xdr:cNvPr>
        <xdr:cNvSpPr/>
      </xdr:nvSpPr>
      <xdr:spPr>
        <a:xfrm>
          <a:off x="1927860" y="1515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829</xdr:row>
      <xdr:rowOff>0</xdr:rowOff>
    </xdr:from>
    <xdr:to>
      <xdr:col>11</xdr:col>
      <xdr:colOff>83820</xdr:colOff>
      <xdr:row>829</xdr:row>
      <xdr:rowOff>114300</xdr:rowOff>
    </xdr:to>
    <xdr:sp macro="" textlink="">
      <xdr:nvSpPr>
        <xdr:cNvPr id="6208" name="Arrow: Down 6207">
          <a:extLst>
            <a:ext uri="{FF2B5EF4-FFF2-40B4-BE49-F238E27FC236}">
              <a16:creationId xmlns:a16="http://schemas.microsoft.com/office/drawing/2014/main" id="{3CE1FCB7-C9C0-422B-9F61-C5FFC86F5593}"/>
            </a:ext>
          </a:extLst>
        </xdr:cNvPr>
        <xdr:cNvSpPr/>
      </xdr:nvSpPr>
      <xdr:spPr>
        <a:xfrm>
          <a:off x="3695700" y="1515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829</xdr:row>
      <xdr:rowOff>0</xdr:rowOff>
    </xdr:from>
    <xdr:to>
      <xdr:col>45</xdr:col>
      <xdr:colOff>83820</xdr:colOff>
      <xdr:row>829</xdr:row>
      <xdr:rowOff>114300</xdr:rowOff>
    </xdr:to>
    <xdr:sp macro="" textlink="">
      <xdr:nvSpPr>
        <xdr:cNvPr id="6210" name="Arrow: Down 6209">
          <a:extLst>
            <a:ext uri="{FF2B5EF4-FFF2-40B4-BE49-F238E27FC236}">
              <a16:creationId xmlns:a16="http://schemas.microsoft.com/office/drawing/2014/main" id="{35E81684-936B-4B34-9473-C710CA5DAB45}"/>
            </a:ext>
          </a:extLst>
        </xdr:cNvPr>
        <xdr:cNvSpPr/>
      </xdr:nvSpPr>
      <xdr:spPr>
        <a:xfrm rot="10800000">
          <a:off x="13403580" y="151523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829</xdr:row>
      <xdr:rowOff>0</xdr:rowOff>
    </xdr:from>
    <xdr:to>
      <xdr:col>71</xdr:col>
      <xdr:colOff>83820</xdr:colOff>
      <xdr:row>829</xdr:row>
      <xdr:rowOff>114300</xdr:rowOff>
    </xdr:to>
    <xdr:sp macro="" textlink="">
      <xdr:nvSpPr>
        <xdr:cNvPr id="6211" name="Arrow: Down 6210">
          <a:extLst>
            <a:ext uri="{FF2B5EF4-FFF2-40B4-BE49-F238E27FC236}">
              <a16:creationId xmlns:a16="http://schemas.microsoft.com/office/drawing/2014/main" id="{D630BAF3-D30F-40C2-96FC-B8A63015CB9D}"/>
            </a:ext>
          </a:extLst>
        </xdr:cNvPr>
        <xdr:cNvSpPr/>
      </xdr:nvSpPr>
      <xdr:spPr>
        <a:xfrm rot="10800000">
          <a:off x="22006560" y="15152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830</xdr:row>
      <xdr:rowOff>0</xdr:rowOff>
    </xdr:from>
    <xdr:to>
      <xdr:col>64</xdr:col>
      <xdr:colOff>83820</xdr:colOff>
      <xdr:row>830</xdr:row>
      <xdr:rowOff>114300</xdr:rowOff>
    </xdr:to>
    <xdr:sp macro="" textlink="">
      <xdr:nvSpPr>
        <xdr:cNvPr id="6212" name="Arrow: Down 6211">
          <a:extLst>
            <a:ext uri="{FF2B5EF4-FFF2-40B4-BE49-F238E27FC236}">
              <a16:creationId xmlns:a16="http://schemas.microsoft.com/office/drawing/2014/main" id="{336D724B-E450-4CDD-908B-B18D5926122C}"/>
            </a:ext>
          </a:extLst>
        </xdr:cNvPr>
        <xdr:cNvSpPr/>
      </xdr:nvSpPr>
      <xdr:spPr>
        <a:xfrm rot="10800000">
          <a:off x="19392900" y="151706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830</xdr:row>
      <xdr:rowOff>0</xdr:rowOff>
    </xdr:from>
    <xdr:to>
      <xdr:col>24</xdr:col>
      <xdr:colOff>83820</xdr:colOff>
      <xdr:row>830</xdr:row>
      <xdr:rowOff>114300</xdr:rowOff>
    </xdr:to>
    <xdr:sp macro="" textlink="">
      <xdr:nvSpPr>
        <xdr:cNvPr id="6214" name="Arrow: Down 6213">
          <a:extLst>
            <a:ext uri="{FF2B5EF4-FFF2-40B4-BE49-F238E27FC236}">
              <a16:creationId xmlns:a16="http://schemas.microsoft.com/office/drawing/2014/main" id="{66E33BAE-CF4B-4714-A6B3-2F2C239AAAFD}"/>
            </a:ext>
          </a:extLst>
        </xdr:cNvPr>
        <xdr:cNvSpPr/>
      </xdr:nvSpPr>
      <xdr:spPr>
        <a:xfrm>
          <a:off x="833628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830</xdr:row>
      <xdr:rowOff>0</xdr:rowOff>
    </xdr:from>
    <xdr:to>
      <xdr:col>60</xdr:col>
      <xdr:colOff>83820</xdr:colOff>
      <xdr:row>830</xdr:row>
      <xdr:rowOff>114300</xdr:rowOff>
    </xdr:to>
    <xdr:sp macro="" textlink="">
      <xdr:nvSpPr>
        <xdr:cNvPr id="6215" name="Arrow: Down 6214">
          <a:extLst>
            <a:ext uri="{FF2B5EF4-FFF2-40B4-BE49-F238E27FC236}">
              <a16:creationId xmlns:a16="http://schemas.microsoft.com/office/drawing/2014/main" id="{C92D28DA-5BF8-431D-BA14-A09BB598E19F}"/>
            </a:ext>
          </a:extLst>
        </xdr:cNvPr>
        <xdr:cNvSpPr/>
      </xdr:nvSpPr>
      <xdr:spPr>
        <a:xfrm>
          <a:off x="1912620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830</xdr:row>
      <xdr:rowOff>0</xdr:rowOff>
    </xdr:from>
    <xdr:to>
      <xdr:col>5</xdr:col>
      <xdr:colOff>83820</xdr:colOff>
      <xdr:row>830</xdr:row>
      <xdr:rowOff>114300</xdr:rowOff>
    </xdr:to>
    <xdr:sp macro="" textlink="">
      <xdr:nvSpPr>
        <xdr:cNvPr id="6216" name="Arrow: Down 6215">
          <a:extLst>
            <a:ext uri="{FF2B5EF4-FFF2-40B4-BE49-F238E27FC236}">
              <a16:creationId xmlns:a16="http://schemas.microsoft.com/office/drawing/2014/main" id="{FCADF057-F2A1-44C1-9DEE-17BFF418B776}"/>
            </a:ext>
          </a:extLst>
        </xdr:cNvPr>
        <xdr:cNvSpPr/>
      </xdr:nvSpPr>
      <xdr:spPr>
        <a:xfrm>
          <a:off x="192786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830</xdr:row>
      <xdr:rowOff>0</xdr:rowOff>
    </xdr:from>
    <xdr:to>
      <xdr:col>11</xdr:col>
      <xdr:colOff>83820</xdr:colOff>
      <xdr:row>830</xdr:row>
      <xdr:rowOff>114300</xdr:rowOff>
    </xdr:to>
    <xdr:sp macro="" textlink="">
      <xdr:nvSpPr>
        <xdr:cNvPr id="6217" name="Arrow: Down 6216">
          <a:extLst>
            <a:ext uri="{FF2B5EF4-FFF2-40B4-BE49-F238E27FC236}">
              <a16:creationId xmlns:a16="http://schemas.microsoft.com/office/drawing/2014/main" id="{FFFA4768-A98B-4307-B781-0A7B9B336BD3}"/>
            </a:ext>
          </a:extLst>
        </xdr:cNvPr>
        <xdr:cNvSpPr/>
      </xdr:nvSpPr>
      <xdr:spPr>
        <a:xfrm>
          <a:off x="369570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830</xdr:row>
      <xdr:rowOff>0</xdr:rowOff>
    </xdr:from>
    <xdr:to>
      <xdr:col>39</xdr:col>
      <xdr:colOff>83820</xdr:colOff>
      <xdr:row>830</xdr:row>
      <xdr:rowOff>114300</xdr:rowOff>
    </xdr:to>
    <xdr:sp macro="" textlink="">
      <xdr:nvSpPr>
        <xdr:cNvPr id="6218" name="Arrow: Down 6217">
          <a:extLst>
            <a:ext uri="{FF2B5EF4-FFF2-40B4-BE49-F238E27FC236}">
              <a16:creationId xmlns:a16="http://schemas.microsoft.com/office/drawing/2014/main" id="{C20A84F4-4AEE-42BB-BF7E-A47384FD4F5A}"/>
            </a:ext>
          </a:extLst>
        </xdr:cNvPr>
        <xdr:cNvSpPr/>
      </xdr:nvSpPr>
      <xdr:spPr>
        <a:xfrm rot="10800000">
          <a:off x="11544300" y="15170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830</xdr:row>
      <xdr:rowOff>0</xdr:rowOff>
    </xdr:from>
    <xdr:to>
      <xdr:col>45</xdr:col>
      <xdr:colOff>83820</xdr:colOff>
      <xdr:row>830</xdr:row>
      <xdr:rowOff>114300</xdr:rowOff>
    </xdr:to>
    <xdr:sp macro="" textlink="">
      <xdr:nvSpPr>
        <xdr:cNvPr id="6219" name="Arrow: Down 6218">
          <a:extLst>
            <a:ext uri="{FF2B5EF4-FFF2-40B4-BE49-F238E27FC236}">
              <a16:creationId xmlns:a16="http://schemas.microsoft.com/office/drawing/2014/main" id="{AA63106B-3D3D-4F2F-B3DF-B5969A0CBB73}"/>
            </a:ext>
          </a:extLst>
        </xdr:cNvPr>
        <xdr:cNvSpPr/>
      </xdr:nvSpPr>
      <xdr:spPr>
        <a:xfrm rot="10800000">
          <a:off x="13403580" y="15170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830</xdr:row>
      <xdr:rowOff>0</xdr:rowOff>
    </xdr:from>
    <xdr:to>
      <xdr:col>71</xdr:col>
      <xdr:colOff>83820</xdr:colOff>
      <xdr:row>830</xdr:row>
      <xdr:rowOff>114300</xdr:rowOff>
    </xdr:to>
    <xdr:sp macro="" textlink="">
      <xdr:nvSpPr>
        <xdr:cNvPr id="6220" name="Arrow: Down 6219">
          <a:extLst>
            <a:ext uri="{FF2B5EF4-FFF2-40B4-BE49-F238E27FC236}">
              <a16:creationId xmlns:a16="http://schemas.microsoft.com/office/drawing/2014/main" id="{53ABFF06-5446-4A38-A464-8AAFBB02B19A}"/>
            </a:ext>
          </a:extLst>
        </xdr:cNvPr>
        <xdr:cNvSpPr/>
      </xdr:nvSpPr>
      <xdr:spPr>
        <a:xfrm rot="10800000">
          <a:off x="22006560" y="1517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824</xdr:row>
      <xdr:rowOff>0</xdr:rowOff>
    </xdr:from>
    <xdr:to>
      <xdr:col>11</xdr:col>
      <xdr:colOff>83820</xdr:colOff>
      <xdr:row>824</xdr:row>
      <xdr:rowOff>114300</xdr:rowOff>
    </xdr:to>
    <xdr:sp macro="" textlink="">
      <xdr:nvSpPr>
        <xdr:cNvPr id="6230" name="Arrow: Down 6229">
          <a:extLst>
            <a:ext uri="{FF2B5EF4-FFF2-40B4-BE49-F238E27FC236}">
              <a16:creationId xmlns:a16="http://schemas.microsoft.com/office/drawing/2014/main" id="{AB04F41E-7756-441F-9A6A-C239BE5F2985}"/>
            </a:ext>
          </a:extLst>
        </xdr:cNvPr>
        <xdr:cNvSpPr/>
      </xdr:nvSpPr>
      <xdr:spPr>
        <a:xfrm rot="10800000">
          <a:off x="369570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824</xdr:row>
      <xdr:rowOff>0</xdr:rowOff>
    </xdr:from>
    <xdr:to>
      <xdr:col>5</xdr:col>
      <xdr:colOff>83820</xdr:colOff>
      <xdr:row>824</xdr:row>
      <xdr:rowOff>114300</xdr:rowOff>
    </xdr:to>
    <xdr:sp macro="" textlink="">
      <xdr:nvSpPr>
        <xdr:cNvPr id="6231" name="Arrow: Down 6230">
          <a:extLst>
            <a:ext uri="{FF2B5EF4-FFF2-40B4-BE49-F238E27FC236}">
              <a16:creationId xmlns:a16="http://schemas.microsoft.com/office/drawing/2014/main" id="{CDE5C676-8DCB-40A6-BABC-B6DD907E507C}"/>
            </a:ext>
          </a:extLst>
        </xdr:cNvPr>
        <xdr:cNvSpPr/>
      </xdr:nvSpPr>
      <xdr:spPr>
        <a:xfrm rot="10800000">
          <a:off x="192786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825</xdr:row>
      <xdr:rowOff>0</xdr:rowOff>
    </xdr:from>
    <xdr:to>
      <xdr:col>11</xdr:col>
      <xdr:colOff>83820</xdr:colOff>
      <xdr:row>825</xdr:row>
      <xdr:rowOff>114300</xdr:rowOff>
    </xdr:to>
    <xdr:sp macro="" textlink="">
      <xdr:nvSpPr>
        <xdr:cNvPr id="6232" name="Arrow: Down 6231">
          <a:extLst>
            <a:ext uri="{FF2B5EF4-FFF2-40B4-BE49-F238E27FC236}">
              <a16:creationId xmlns:a16="http://schemas.microsoft.com/office/drawing/2014/main" id="{EE30BE6C-19DC-4F2C-B25B-D4D4191435C1}"/>
            </a:ext>
          </a:extLst>
        </xdr:cNvPr>
        <xdr:cNvSpPr/>
      </xdr:nvSpPr>
      <xdr:spPr>
        <a:xfrm rot="10800000">
          <a:off x="369570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83820</xdr:colOff>
      <xdr:row>825</xdr:row>
      <xdr:rowOff>114300</xdr:rowOff>
    </xdr:to>
    <xdr:sp macro="" textlink="">
      <xdr:nvSpPr>
        <xdr:cNvPr id="6234" name="Arrow: Down 6233">
          <a:extLst>
            <a:ext uri="{FF2B5EF4-FFF2-40B4-BE49-F238E27FC236}">
              <a16:creationId xmlns:a16="http://schemas.microsoft.com/office/drawing/2014/main" id="{CBA8D594-987A-4F0A-B592-24D43069BC83}"/>
            </a:ext>
          </a:extLst>
        </xdr:cNvPr>
        <xdr:cNvSpPr/>
      </xdr:nvSpPr>
      <xdr:spPr>
        <a:xfrm rot="10800000">
          <a:off x="192786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826</xdr:row>
      <xdr:rowOff>0</xdr:rowOff>
    </xdr:from>
    <xdr:to>
      <xdr:col>11</xdr:col>
      <xdr:colOff>83820</xdr:colOff>
      <xdr:row>826</xdr:row>
      <xdr:rowOff>114300</xdr:rowOff>
    </xdr:to>
    <xdr:sp macro="" textlink="">
      <xdr:nvSpPr>
        <xdr:cNvPr id="6235" name="Arrow: Down 6234">
          <a:extLst>
            <a:ext uri="{FF2B5EF4-FFF2-40B4-BE49-F238E27FC236}">
              <a16:creationId xmlns:a16="http://schemas.microsoft.com/office/drawing/2014/main" id="{72E330B0-D566-4766-A426-55ABB1421B4B}"/>
            </a:ext>
          </a:extLst>
        </xdr:cNvPr>
        <xdr:cNvSpPr/>
      </xdr:nvSpPr>
      <xdr:spPr>
        <a:xfrm rot="10800000">
          <a:off x="369570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826</xdr:row>
      <xdr:rowOff>0</xdr:rowOff>
    </xdr:from>
    <xdr:to>
      <xdr:col>5</xdr:col>
      <xdr:colOff>83820</xdr:colOff>
      <xdr:row>826</xdr:row>
      <xdr:rowOff>114300</xdr:rowOff>
    </xdr:to>
    <xdr:sp macro="" textlink="">
      <xdr:nvSpPr>
        <xdr:cNvPr id="6239" name="Arrow: Down 6238">
          <a:extLst>
            <a:ext uri="{FF2B5EF4-FFF2-40B4-BE49-F238E27FC236}">
              <a16:creationId xmlns:a16="http://schemas.microsoft.com/office/drawing/2014/main" id="{94F03635-596A-4DE0-A1C5-F0A3AF47C22E}"/>
            </a:ext>
          </a:extLst>
        </xdr:cNvPr>
        <xdr:cNvSpPr/>
      </xdr:nvSpPr>
      <xdr:spPr>
        <a:xfrm rot="10800000">
          <a:off x="192786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824</xdr:row>
      <xdr:rowOff>0</xdr:rowOff>
    </xdr:from>
    <xdr:to>
      <xdr:col>24</xdr:col>
      <xdr:colOff>83820</xdr:colOff>
      <xdr:row>824</xdr:row>
      <xdr:rowOff>114300</xdr:rowOff>
    </xdr:to>
    <xdr:sp macro="" textlink="">
      <xdr:nvSpPr>
        <xdr:cNvPr id="6240" name="Arrow: Down 6239">
          <a:extLst>
            <a:ext uri="{FF2B5EF4-FFF2-40B4-BE49-F238E27FC236}">
              <a16:creationId xmlns:a16="http://schemas.microsoft.com/office/drawing/2014/main" id="{BFC752F2-7C54-451A-BF2D-0ED934BED464}"/>
            </a:ext>
          </a:extLst>
        </xdr:cNvPr>
        <xdr:cNvSpPr/>
      </xdr:nvSpPr>
      <xdr:spPr>
        <a:xfrm>
          <a:off x="833628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827</xdr:row>
      <xdr:rowOff>0</xdr:rowOff>
    </xdr:from>
    <xdr:to>
      <xdr:col>39</xdr:col>
      <xdr:colOff>83820</xdr:colOff>
      <xdr:row>827</xdr:row>
      <xdr:rowOff>114300</xdr:rowOff>
    </xdr:to>
    <xdr:sp macro="" textlink="">
      <xdr:nvSpPr>
        <xdr:cNvPr id="6244" name="Arrow: Down 6243">
          <a:extLst>
            <a:ext uri="{FF2B5EF4-FFF2-40B4-BE49-F238E27FC236}">
              <a16:creationId xmlns:a16="http://schemas.microsoft.com/office/drawing/2014/main" id="{973B1116-E263-44F8-B49F-3E1970342662}"/>
            </a:ext>
          </a:extLst>
        </xdr:cNvPr>
        <xdr:cNvSpPr/>
      </xdr:nvSpPr>
      <xdr:spPr>
        <a:xfrm>
          <a:off x="11544300" y="1513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825</xdr:row>
      <xdr:rowOff>0</xdr:rowOff>
    </xdr:from>
    <xdr:to>
      <xdr:col>24</xdr:col>
      <xdr:colOff>83820</xdr:colOff>
      <xdr:row>825</xdr:row>
      <xdr:rowOff>114300</xdr:rowOff>
    </xdr:to>
    <xdr:sp macro="" textlink="">
      <xdr:nvSpPr>
        <xdr:cNvPr id="6251" name="Arrow: Down 6250">
          <a:extLst>
            <a:ext uri="{FF2B5EF4-FFF2-40B4-BE49-F238E27FC236}">
              <a16:creationId xmlns:a16="http://schemas.microsoft.com/office/drawing/2014/main" id="{41A738E4-5BC0-4106-97F6-340903F13FD0}"/>
            </a:ext>
          </a:extLst>
        </xdr:cNvPr>
        <xdr:cNvSpPr/>
      </xdr:nvSpPr>
      <xdr:spPr>
        <a:xfrm>
          <a:off x="833628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828</xdr:row>
      <xdr:rowOff>0</xdr:rowOff>
    </xdr:from>
    <xdr:to>
      <xdr:col>39</xdr:col>
      <xdr:colOff>83820</xdr:colOff>
      <xdr:row>828</xdr:row>
      <xdr:rowOff>114300</xdr:rowOff>
    </xdr:to>
    <xdr:sp macro="" textlink="">
      <xdr:nvSpPr>
        <xdr:cNvPr id="6254" name="Arrow: Down 6253">
          <a:extLst>
            <a:ext uri="{FF2B5EF4-FFF2-40B4-BE49-F238E27FC236}">
              <a16:creationId xmlns:a16="http://schemas.microsoft.com/office/drawing/2014/main" id="{6FE71110-B45A-4574-A086-D43ADAA4721D}"/>
            </a:ext>
          </a:extLst>
        </xdr:cNvPr>
        <xdr:cNvSpPr/>
      </xdr:nvSpPr>
      <xdr:spPr>
        <a:xfrm>
          <a:off x="11544300" y="15152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826</xdr:row>
      <xdr:rowOff>0</xdr:rowOff>
    </xdr:from>
    <xdr:to>
      <xdr:col>24</xdr:col>
      <xdr:colOff>83820</xdr:colOff>
      <xdr:row>826</xdr:row>
      <xdr:rowOff>114300</xdr:rowOff>
    </xdr:to>
    <xdr:sp macro="" textlink="">
      <xdr:nvSpPr>
        <xdr:cNvPr id="6257" name="Arrow: Down 6256">
          <a:extLst>
            <a:ext uri="{FF2B5EF4-FFF2-40B4-BE49-F238E27FC236}">
              <a16:creationId xmlns:a16="http://schemas.microsoft.com/office/drawing/2014/main" id="{EE2FFF24-F12E-4004-A8E4-DC3B5B56DC65}"/>
            </a:ext>
          </a:extLst>
        </xdr:cNvPr>
        <xdr:cNvSpPr/>
      </xdr:nvSpPr>
      <xdr:spPr>
        <a:xfrm>
          <a:off x="833628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829</xdr:row>
      <xdr:rowOff>0</xdr:rowOff>
    </xdr:from>
    <xdr:to>
      <xdr:col>39</xdr:col>
      <xdr:colOff>83820</xdr:colOff>
      <xdr:row>829</xdr:row>
      <xdr:rowOff>114300</xdr:rowOff>
    </xdr:to>
    <xdr:sp macro="" textlink="">
      <xdr:nvSpPr>
        <xdr:cNvPr id="6258" name="Arrow: Down 6257">
          <a:extLst>
            <a:ext uri="{FF2B5EF4-FFF2-40B4-BE49-F238E27FC236}">
              <a16:creationId xmlns:a16="http://schemas.microsoft.com/office/drawing/2014/main" id="{AAF2DC47-F408-4865-9A0B-1F65AF201996}"/>
            </a:ext>
          </a:extLst>
        </xdr:cNvPr>
        <xdr:cNvSpPr/>
      </xdr:nvSpPr>
      <xdr:spPr>
        <a:xfrm>
          <a:off x="11544300" y="1517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825</xdr:row>
      <xdr:rowOff>0</xdr:rowOff>
    </xdr:from>
    <xdr:to>
      <xdr:col>60</xdr:col>
      <xdr:colOff>83820</xdr:colOff>
      <xdr:row>825</xdr:row>
      <xdr:rowOff>114300</xdr:rowOff>
    </xdr:to>
    <xdr:sp macro="" textlink="">
      <xdr:nvSpPr>
        <xdr:cNvPr id="6264" name="Arrow: Down 6263">
          <a:extLst>
            <a:ext uri="{FF2B5EF4-FFF2-40B4-BE49-F238E27FC236}">
              <a16:creationId xmlns:a16="http://schemas.microsoft.com/office/drawing/2014/main" id="{C2CD9951-5626-4DD6-93CC-3128AC680859}"/>
            </a:ext>
          </a:extLst>
        </xdr:cNvPr>
        <xdr:cNvSpPr/>
      </xdr:nvSpPr>
      <xdr:spPr>
        <a:xfrm rot="10800000">
          <a:off x="1912620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829</xdr:row>
      <xdr:rowOff>0</xdr:rowOff>
    </xdr:from>
    <xdr:to>
      <xdr:col>60</xdr:col>
      <xdr:colOff>83820</xdr:colOff>
      <xdr:row>829</xdr:row>
      <xdr:rowOff>114300</xdr:rowOff>
    </xdr:to>
    <xdr:sp macro="" textlink="">
      <xdr:nvSpPr>
        <xdr:cNvPr id="6268" name="Arrow: Down 6267">
          <a:extLst>
            <a:ext uri="{FF2B5EF4-FFF2-40B4-BE49-F238E27FC236}">
              <a16:creationId xmlns:a16="http://schemas.microsoft.com/office/drawing/2014/main" id="{588A3429-F451-44DD-85AE-4EF7BF3AE0A5}"/>
            </a:ext>
          </a:extLst>
        </xdr:cNvPr>
        <xdr:cNvSpPr/>
      </xdr:nvSpPr>
      <xdr:spPr>
        <a:xfrm rot="10800000">
          <a:off x="19126200" y="1517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824</xdr:row>
      <xdr:rowOff>0</xdr:rowOff>
    </xdr:from>
    <xdr:to>
      <xdr:col>60</xdr:col>
      <xdr:colOff>83820</xdr:colOff>
      <xdr:row>824</xdr:row>
      <xdr:rowOff>114300</xdr:rowOff>
    </xdr:to>
    <xdr:sp macro="" textlink="">
      <xdr:nvSpPr>
        <xdr:cNvPr id="6269" name="Arrow: Down 6268">
          <a:extLst>
            <a:ext uri="{FF2B5EF4-FFF2-40B4-BE49-F238E27FC236}">
              <a16:creationId xmlns:a16="http://schemas.microsoft.com/office/drawing/2014/main" id="{907FAB5F-B630-4A22-BF4A-BEC3482312D8}"/>
            </a:ext>
          </a:extLst>
        </xdr:cNvPr>
        <xdr:cNvSpPr/>
      </xdr:nvSpPr>
      <xdr:spPr>
        <a:xfrm rot="10800000">
          <a:off x="1912620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827</xdr:row>
      <xdr:rowOff>0</xdr:rowOff>
    </xdr:from>
    <xdr:to>
      <xdr:col>60</xdr:col>
      <xdr:colOff>83820</xdr:colOff>
      <xdr:row>827</xdr:row>
      <xdr:rowOff>114300</xdr:rowOff>
    </xdr:to>
    <xdr:sp macro="" textlink="">
      <xdr:nvSpPr>
        <xdr:cNvPr id="6270" name="Arrow: Down 6269">
          <a:extLst>
            <a:ext uri="{FF2B5EF4-FFF2-40B4-BE49-F238E27FC236}">
              <a16:creationId xmlns:a16="http://schemas.microsoft.com/office/drawing/2014/main" id="{BBE411CA-F4AA-4500-AC82-C334B6BD682B}"/>
            </a:ext>
          </a:extLst>
        </xdr:cNvPr>
        <xdr:cNvSpPr/>
      </xdr:nvSpPr>
      <xdr:spPr>
        <a:xfrm rot="10800000">
          <a:off x="19126200" y="1513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831</xdr:row>
      <xdr:rowOff>0</xdr:rowOff>
    </xdr:from>
    <xdr:to>
      <xdr:col>64</xdr:col>
      <xdr:colOff>83820</xdr:colOff>
      <xdr:row>831</xdr:row>
      <xdr:rowOff>114300</xdr:rowOff>
    </xdr:to>
    <xdr:sp macro="" textlink="">
      <xdr:nvSpPr>
        <xdr:cNvPr id="6035" name="Arrow: Down 6034">
          <a:extLst>
            <a:ext uri="{FF2B5EF4-FFF2-40B4-BE49-F238E27FC236}">
              <a16:creationId xmlns:a16="http://schemas.microsoft.com/office/drawing/2014/main" id="{53108CD2-9DFF-4881-98E9-1AD268CE3DB6}"/>
            </a:ext>
          </a:extLst>
        </xdr:cNvPr>
        <xdr:cNvSpPr/>
      </xdr:nvSpPr>
      <xdr:spPr>
        <a:xfrm rot="10800000">
          <a:off x="19392900" y="151889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831</xdr:row>
      <xdr:rowOff>0</xdr:rowOff>
    </xdr:from>
    <xdr:to>
      <xdr:col>60</xdr:col>
      <xdr:colOff>83820</xdr:colOff>
      <xdr:row>831</xdr:row>
      <xdr:rowOff>114300</xdr:rowOff>
    </xdr:to>
    <xdr:sp macro="" textlink="">
      <xdr:nvSpPr>
        <xdr:cNvPr id="6041" name="Arrow: Down 6040">
          <a:extLst>
            <a:ext uri="{FF2B5EF4-FFF2-40B4-BE49-F238E27FC236}">
              <a16:creationId xmlns:a16="http://schemas.microsoft.com/office/drawing/2014/main" id="{F02CDAA4-3399-4491-9009-F6178B459E71}"/>
            </a:ext>
          </a:extLst>
        </xdr:cNvPr>
        <xdr:cNvSpPr/>
      </xdr:nvSpPr>
      <xdr:spPr>
        <a:xfrm>
          <a:off x="19126200" y="1518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831</xdr:row>
      <xdr:rowOff>0</xdr:rowOff>
    </xdr:from>
    <xdr:to>
      <xdr:col>5</xdr:col>
      <xdr:colOff>83820</xdr:colOff>
      <xdr:row>831</xdr:row>
      <xdr:rowOff>114300</xdr:rowOff>
    </xdr:to>
    <xdr:sp macro="" textlink="">
      <xdr:nvSpPr>
        <xdr:cNvPr id="6046" name="Arrow: Down 6045">
          <a:extLst>
            <a:ext uri="{FF2B5EF4-FFF2-40B4-BE49-F238E27FC236}">
              <a16:creationId xmlns:a16="http://schemas.microsoft.com/office/drawing/2014/main" id="{6447D419-855B-45ED-B98A-CD3D7EB17183}"/>
            </a:ext>
          </a:extLst>
        </xdr:cNvPr>
        <xdr:cNvSpPr/>
      </xdr:nvSpPr>
      <xdr:spPr>
        <a:xfrm>
          <a:off x="1927860" y="1518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831</xdr:row>
      <xdr:rowOff>0</xdr:rowOff>
    </xdr:from>
    <xdr:to>
      <xdr:col>45</xdr:col>
      <xdr:colOff>83820</xdr:colOff>
      <xdr:row>831</xdr:row>
      <xdr:rowOff>114300</xdr:rowOff>
    </xdr:to>
    <xdr:sp macro="" textlink="">
      <xdr:nvSpPr>
        <xdr:cNvPr id="6165" name="Arrow: Down 6164">
          <a:extLst>
            <a:ext uri="{FF2B5EF4-FFF2-40B4-BE49-F238E27FC236}">
              <a16:creationId xmlns:a16="http://schemas.microsoft.com/office/drawing/2014/main" id="{2FC469A6-053A-4EE3-BC79-F1500C9209D5}"/>
            </a:ext>
          </a:extLst>
        </xdr:cNvPr>
        <xdr:cNvSpPr/>
      </xdr:nvSpPr>
      <xdr:spPr>
        <a:xfrm rot="10800000">
          <a:off x="13403580" y="15188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831</xdr:row>
      <xdr:rowOff>0</xdr:rowOff>
    </xdr:from>
    <xdr:to>
      <xdr:col>71</xdr:col>
      <xdr:colOff>83820</xdr:colOff>
      <xdr:row>831</xdr:row>
      <xdr:rowOff>114300</xdr:rowOff>
    </xdr:to>
    <xdr:sp macro="" textlink="">
      <xdr:nvSpPr>
        <xdr:cNvPr id="6171" name="Arrow: Down 6170">
          <a:extLst>
            <a:ext uri="{FF2B5EF4-FFF2-40B4-BE49-F238E27FC236}">
              <a16:creationId xmlns:a16="http://schemas.microsoft.com/office/drawing/2014/main" id="{CEF8BE68-F7C9-4E4F-9CF7-8A0378F3C84E}"/>
            </a:ext>
          </a:extLst>
        </xdr:cNvPr>
        <xdr:cNvSpPr/>
      </xdr:nvSpPr>
      <xdr:spPr>
        <a:xfrm rot="10800000">
          <a:off x="22006560" y="15188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832</xdr:row>
      <xdr:rowOff>0</xdr:rowOff>
    </xdr:from>
    <xdr:to>
      <xdr:col>64</xdr:col>
      <xdr:colOff>83820</xdr:colOff>
      <xdr:row>832</xdr:row>
      <xdr:rowOff>114300</xdr:rowOff>
    </xdr:to>
    <xdr:sp macro="" textlink="">
      <xdr:nvSpPr>
        <xdr:cNvPr id="6176" name="Arrow: Down 6175">
          <a:extLst>
            <a:ext uri="{FF2B5EF4-FFF2-40B4-BE49-F238E27FC236}">
              <a16:creationId xmlns:a16="http://schemas.microsoft.com/office/drawing/2014/main" id="{3BC22C81-9316-4D20-8655-F2699056FC7C}"/>
            </a:ext>
          </a:extLst>
        </xdr:cNvPr>
        <xdr:cNvSpPr/>
      </xdr:nvSpPr>
      <xdr:spPr>
        <a:xfrm rot="10800000">
          <a:off x="19392900" y="152072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832</xdr:row>
      <xdr:rowOff>0</xdr:rowOff>
    </xdr:from>
    <xdr:to>
      <xdr:col>60</xdr:col>
      <xdr:colOff>83820</xdr:colOff>
      <xdr:row>832</xdr:row>
      <xdr:rowOff>114300</xdr:rowOff>
    </xdr:to>
    <xdr:sp macro="" textlink="">
      <xdr:nvSpPr>
        <xdr:cNvPr id="6206" name="Arrow: Down 6205">
          <a:extLst>
            <a:ext uri="{FF2B5EF4-FFF2-40B4-BE49-F238E27FC236}">
              <a16:creationId xmlns:a16="http://schemas.microsoft.com/office/drawing/2014/main" id="{59FCDE05-785C-4733-BC7F-B31F6F9CEB6B}"/>
            </a:ext>
          </a:extLst>
        </xdr:cNvPr>
        <xdr:cNvSpPr/>
      </xdr:nvSpPr>
      <xdr:spPr>
        <a:xfrm>
          <a:off x="19126200" y="1520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832</xdr:row>
      <xdr:rowOff>0</xdr:rowOff>
    </xdr:from>
    <xdr:to>
      <xdr:col>39</xdr:col>
      <xdr:colOff>83820</xdr:colOff>
      <xdr:row>832</xdr:row>
      <xdr:rowOff>114300</xdr:rowOff>
    </xdr:to>
    <xdr:sp macro="" textlink="">
      <xdr:nvSpPr>
        <xdr:cNvPr id="6236" name="Arrow: Down 6235">
          <a:extLst>
            <a:ext uri="{FF2B5EF4-FFF2-40B4-BE49-F238E27FC236}">
              <a16:creationId xmlns:a16="http://schemas.microsoft.com/office/drawing/2014/main" id="{42BB89CC-5733-4570-BB75-0B897E950D01}"/>
            </a:ext>
          </a:extLst>
        </xdr:cNvPr>
        <xdr:cNvSpPr/>
      </xdr:nvSpPr>
      <xdr:spPr>
        <a:xfrm rot="10800000">
          <a:off x="11544300" y="15207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832</xdr:row>
      <xdr:rowOff>0</xdr:rowOff>
    </xdr:from>
    <xdr:to>
      <xdr:col>45</xdr:col>
      <xdr:colOff>83820</xdr:colOff>
      <xdr:row>832</xdr:row>
      <xdr:rowOff>114300</xdr:rowOff>
    </xdr:to>
    <xdr:sp macro="" textlink="">
      <xdr:nvSpPr>
        <xdr:cNvPr id="6243" name="Arrow: Down 6242">
          <a:extLst>
            <a:ext uri="{FF2B5EF4-FFF2-40B4-BE49-F238E27FC236}">
              <a16:creationId xmlns:a16="http://schemas.microsoft.com/office/drawing/2014/main" id="{523B5007-9731-407D-82E8-BE6514955C41}"/>
            </a:ext>
          </a:extLst>
        </xdr:cNvPr>
        <xdr:cNvSpPr/>
      </xdr:nvSpPr>
      <xdr:spPr>
        <a:xfrm rot="10800000">
          <a:off x="13403580" y="15207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832</xdr:row>
      <xdr:rowOff>0</xdr:rowOff>
    </xdr:from>
    <xdr:to>
      <xdr:col>71</xdr:col>
      <xdr:colOff>83820</xdr:colOff>
      <xdr:row>832</xdr:row>
      <xdr:rowOff>114300</xdr:rowOff>
    </xdr:to>
    <xdr:sp macro="" textlink="">
      <xdr:nvSpPr>
        <xdr:cNvPr id="6252" name="Arrow: Down 6251">
          <a:extLst>
            <a:ext uri="{FF2B5EF4-FFF2-40B4-BE49-F238E27FC236}">
              <a16:creationId xmlns:a16="http://schemas.microsoft.com/office/drawing/2014/main" id="{3DC56C52-8884-4ACD-AACF-04EC58A8797A}"/>
            </a:ext>
          </a:extLst>
        </xdr:cNvPr>
        <xdr:cNvSpPr/>
      </xdr:nvSpPr>
      <xdr:spPr>
        <a:xfrm rot="10800000">
          <a:off x="22006560" y="1520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833</xdr:row>
      <xdr:rowOff>0</xdr:rowOff>
    </xdr:from>
    <xdr:to>
      <xdr:col>64</xdr:col>
      <xdr:colOff>83820</xdr:colOff>
      <xdr:row>833</xdr:row>
      <xdr:rowOff>114300</xdr:rowOff>
    </xdr:to>
    <xdr:sp macro="" textlink="">
      <xdr:nvSpPr>
        <xdr:cNvPr id="6263" name="Arrow: Down 6262">
          <a:extLst>
            <a:ext uri="{FF2B5EF4-FFF2-40B4-BE49-F238E27FC236}">
              <a16:creationId xmlns:a16="http://schemas.microsoft.com/office/drawing/2014/main" id="{8A4C2D70-3FC5-4397-B9FC-D8C3EF5EFFC9}"/>
            </a:ext>
          </a:extLst>
        </xdr:cNvPr>
        <xdr:cNvSpPr/>
      </xdr:nvSpPr>
      <xdr:spPr>
        <a:xfrm rot="10800000">
          <a:off x="19392900" y="152255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833</xdr:row>
      <xdr:rowOff>0</xdr:rowOff>
    </xdr:from>
    <xdr:to>
      <xdr:col>60</xdr:col>
      <xdr:colOff>83820</xdr:colOff>
      <xdr:row>833</xdr:row>
      <xdr:rowOff>114300</xdr:rowOff>
    </xdr:to>
    <xdr:sp macro="" textlink="">
      <xdr:nvSpPr>
        <xdr:cNvPr id="6271" name="Arrow: Down 6270">
          <a:extLst>
            <a:ext uri="{FF2B5EF4-FFF2-40B4-BE49-F238E27FC236}">
              <a16:creationId xmlns:a16="http://schemas.microsoft.com/office/drawing/2014/main" id="{F4753A35-D968-4351-B856-400F18147CB7}"/>
            </a:ext>
          </a:extLst>
        </xdr:cNvPr>
        <xdr:cNvSpPr/>
      </xdr:nvSpPr>
      <xdr:spPr>
        <a:xfrm>
          <a:off x="19126200" y="1522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833</xdr:row>
      <xdr:rowOff>0</xdr:rowOff>
    </xdr:from>
    <xdr:to>
      <xdr:col>39</xdr:col>
      <xdr:colOff>83820</xdr:colOff>
      <xdr:row>833</xdr:row>
      <xdr:rowOff>114300</xdr:rowOff>
    </xdr:to>
    <xdr:sp macro="" textlink="">
      <xdr:nvSpPr>
        <xdr:cNvPr id="6274" name="Arrow: Down 6273">
          <a:extLst>
            <a:ext uri="{FF2B5EF4-FFF2-40B4-BE49-F238E27FC236}">
              <a16:creationId xmlns:a16="http://schemas.microsoft.com/office/drawing/2014/main" id="{1F1EC843-5A7E-492B-AC27-F1846A3F85E9}"/>
            </a:ext>
          </a:extLst>
        </xdr:cNvPr>
        <xdr:cNvSpPr/>
      </xdr:nvSpPr>
      <xdr:spPr>
        <a:xfrm rot="10800000">
          <a:off x="11544300" y="15225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833</xdr:row>
      <xdr:rowOff>0</xdr:rowOff>
    </xdr:from>
    <xdr:to>
      <xdr:col>45</xdr:col>
      <xdr:colOff>83820</xdr:colOff>
      <xdr:row>833</xdr:row>
      <xdr:rowOff>114300</xdr:rowOff>
    </xdr:to>
    <xdr:sp macro="" textlink="">
      <xdr:nvSpPr>
        <xdr:cNvPr id="6275" name="Arrow: Down 6274">
          <a:extLst>
            <a:ext uri="{FF2B5EF4-FFF2-40B4-BE49-F238E27FC236}">
              <a16:creationId xmlns:a16="http://schemas.microsoft.com/office/drawing/2014/main" id="{7E7B496D-FE4A-4E09-B2B3-92FFB3BBD4F3}"/>
            </a:ext>
          </a:extLst>
        </xdr:cNvPr>
        <xdr:cNvSpPr/>
      </xdr:nvSpPr>
      <xdr:spPr>
        <a:xfrm rot="10800000">
          <a:off x="13403580" y="15225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833</xdr:row>
      <xdr:rowOff>0</xdr:rowOff>
    </xdr:from>
    <xdr:to>
      <xdr:col>71</xdr:col>
      <xdr:colOff>83820</xdr:colOff>
      <xdr:row>833</xdr:row>
      <xdr:rowOff>114300</xdr:rowOff>
    </xdr:to>
    <xdr:sp macro="" textlink="">
      <xdr:nvSpPr>
        <xdr:cNvPr id="6276" name="Arrow: Down 6275">
          <a:extLst>
            <a:ext uri="{FF2B5EF4-FFF2-40B4-BE49-F238E27FC236}">
              <a16:creationId xmlns:a16="http://schemas.microsoft.com/office/drawing/2014/main" id="{A8BB0A94-D6A9-43CD-A635-B51558CF1FB7}"/>
            </a:ext>
          </a:extLst>
        </xdr:cNvPr>
        <xdr:cNvSpPr/>
      </xdr:nvSpPr>
      <xdr:spPr>
        <a:xfrm rot="10800000">
          <a:off x="2200656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834</xdr:row>
      <xdr:rowOff>0</xdr:rowOff>
    </xdr:from>
    <xdr:to>
      <xdr:col>64</xdr:col>
      <xdr:colOff>83820</xdr:colOff>
      <xdr:row>834</xdr:row>
      <xdr:rowOff>114300</xdr:rowOff>
    </xdr:to>
    <xdr:sp macro="" textlink="">
      <xdr:nvSpPr>
        <xdr:cNvPr id="6278" name="Arrow: Down 6277">
          <a:extLst>
            <a:ext uri="{FF2B5EF4-FFF2-40B4-BE49-F238E27FC236}">
              <a16:creationId xmlns:a16="http://schemas.microsoft.com/office/drawing/2014/main" id="{844A442B-9EFF-4CE2-BA9C-734B9E0ECEC0}"/>
            </a:ext>
          </a:extLst>
        </xdr:cNvPr>
        <xdr:cNvSpPr/>
      </xdr:nvSpPr>
      <xdr:spPr>
        <a:xfrm rot="10800000">
          <a:off x="19392900" y="152438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834</xdr:row>
      <xdr:rowOff>0</xdr:rowOff>
    </xdr:from>
    <xdr:to>
      <xdr:col>24</xdr:col>
      <xdr:colOff>83820</xdr:colOff>
      <xdr:row>834</xdr:row>
      <xdr:rowOff>114300</xdr:rowOff>
    </xdr:to>
    <xdr:sp macro="" textlink="">
      <xdr:nvSpPr>
        <xdr:cNvPr id="6279" name="Arrow: Down 6278">
          <a:extLst>
            <a:ext uri="{FF2B5EF4-FFF2-40B4-BE49-F238E27FC236}">
              <a16:creationId xmlns:a16="http://schemas.microsoft.com/office/drawing/2014/main" id="{BC700567-6914-47C5-9AC3-6F29585304E5}"/>
            </a:ext>
          </a:extLst>
        </xdr:cNvPr>
        <xdr:cNvSpPr/>
      </xdr:nvSpPr>
      <xdr:spPr>
        <a:xfrm>
          <a:off x="8336280" y="1524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834</xdr:row>
      <xdr:rowOff>0</xdr:rowOff>
    </xdr:from>
    <xdr:to>
      <xdr:col>45</xdr:col>
      <xdr:colOff>83820</xdr:colOff>
      <xdr:row>834</xdr:row>
      <xdr:rowOff>114300</xdr:rowOff>
    </xdr:to>
    <xdr:sp macro="" textlink="">
      <xdr:nvSpPr>
        <xdr:cNvPr id="6284" name="Arrow: Down 6283">
          <a:extLst>
            <a:ext uri="{FF2B5EF4-FFF2-40B4-BE49-F238E27FC236}">
              <a16:creationId xmlns:a16="http://schemas.microsoft.com/office/drawing/2014/main" id="{0A194FA5-DACB-4BAE-9B33-671CAD013A1C}"/>
            </a:ext>
          </a:extLst>
        </xdr:cNvPr>
        <xdr:cNvSpPr/>
      </xdr:nvSpPr>
      <xdr:spPr>
        <a:xfrm rot="10800000">
          <a:off x="13403580" y="15243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834</xdr:row>
      <xdr:rowOff>0</xdr:rowOff>
    </xdr:from>
    <xdr:to>
      <xdr:col>71</xdr:col>
      <xdr:colOff>83820</xdr:colOff>
      <xdr:row>834</xdr:row>
      <xdr:rowOff>114300</xdr:rowOff>
    </xdr:to>
    <xdr:sp macro="" textlink="">
      <xdr:nvSpPr>
        <xdr:cNvPr id="6289" name="Arrow: Down 6288">
          <a:extLst>
            <a:ext uri="{FF2B5EF4-FFF2-40B4-BE49-F238E27FC236}">
              <a16:creationId xmlns:a16="http://schemas.microsoft.com/office/drawing/2014/main" id="{F0852E11-6C8C-424D-A8DA-2F225934D127}"/>
            </a:ext>
          </a:extLst>
        </xdr:cNvPr>
        <xdr:cNvSpPr/>
      </xdr:nvSpPr>
      <xdr:spPr>
        <a:xfrm rot="10800000">
          <a:off x="2200656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835</xdr:row>
      <xdr:rowOff>0</xdr:rowOff>
    </xdr:from>
    <xdr:to>
      <xdr:col>64</xdr:col>
      <xdr:colOff>83820</xdr:colOff>
      <xdr:row>835</xdr:row>
      <xdr:rowOff>114300</xdr:rowOff>
    </xdr:to>
    <xdr:sp macro="" textlink="">
      <xdr:nvSpPr>
        <xdr:cNvPr id="6290" name="Arrow: Down 6289">
          <a:extLst>
            <a:ext uri="{FF2B5EF4-FFF2-40B4-BE49-F238E27FC236}">
              <a16:creationId xmlns:a16="http://schemas.microsoft.com/office/drawing/2014/main" id="{2E288094-8F93-46EA-9C30-E9878A8901DC}"/>
            </a:ext>
          </a:extLst>
        </xdr:cNvPr>
        <xdr:cNvSpPr/>
      </xdr:nvSpPr>
      <xdr:spPr>
        <a:xfrm rot="10800000">
          <a:off x="19392900" y="152620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835</xdr:row>
      <xdr:rowOff>0</xdr:rowOff>
    </xdr:from>
    <xdr:to>
      <xdr:col>24</xdr:col>
      <xdr:colOff>83820</xdr:colOff>
      <xdr:row>835</xdr:row>
      <xdr:rowOff>114300</xdr:rowOff>
    </xdr:to>
    <xdr:sp macro="" textlink="">
      <xdr:nvSpPr>
        <xdr:cNvPr id="6295" name="Arrow: Down 6294">
          <a:extLst>
            <a:ext uri="{FF2B5EF4-FFF2-40B4-BE49-F238E27FC236}">
              <a16:creationId xmlns:a16="http://schemas.microsoft.com/office/drawing/2014/main" id="{04590218-EED5-4ABF-BD3B-AE4445B22F26}"/>
            </a:ext>
          </a:extLst>
        </xdr:cNvPr>
        <xdr:cNvSpPr/>
      </xdr:nvSpPr>
      <xdr:spPr>
        <a:xfrm>
          <a:off x="8336280" y="1526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835</xdr:row>
      <xdr:rowOff>0</xdr:rowOff>
    </xdr:from>
    <xdr:to>
      <xdr:col>60</xdr:col>
      <xdr:colOff>83820</xdr:colOff>
      <xdr:row>835</xdr:row>
      <xdr:rowOff>114300</xdr:rowOff>
    </xdr:to>
    <xdr:sp macro="" textlink="">
      <xdr:nvSpPr>
        <xdr:cNvPr id="6296" name="Arrow: Down 6295">
          <a:extLst>
            <a:ext uri="{FF2B5EF4-FFF2-40B4-BE49-F238E27FC236}">
              <a16:creationId xmlns:a16="http://schemas.microsoft.com/office/drawing/2014/main" id="{3D3A204C-6499-4CE5-912E-F5761F5C0517}"/>
            </a:ext>
          </a:extLst>
        </xdr:cNvPr>
        <xdr:cNvSpPr/>
      </xdr:nvSpPr>
      <xdr:spPr>
        <a:xfrm>
          <a:off x="19126200" y="1526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835</xdr:row>
      <xdr:rowOff>0</xdr:rowOff>
    </xdr:from>
    <xdr:to>
      <xdr:col>45</xdr:col>
      <xdr:colOff>83820</xdr:colOff>
      <xdr:row>835</xdr:row>
      <xdr:rowOff>114300</xdr:rowOff>
    </xdr:to>
    <xdr:sp macro="" textlink="">
      <xdr:nvSpPr>
        <xdr:cNvPr id="6304" name="Arrow: Down 6303">
          <a:extLst>
            <a:ext uri="{FF2B5EF4-FFF2-40B4-BE49-F238E27FC236}">
              <a16:creationId xmlns:a16="http://schemas.microsoft.com/office/drawing/2014/main" id="{C6C7613A-3A84-4069-B8C8-E61B8A477BA7}"/>
            </a:ext>
          </a:extLst>
        </xdr:cNvPr>
        <xdr:cNvSpPr/>
      </xdr:nvSpPr>
      <xdr:spPr>
        <a:xfrm rot="10800000">
          <a:off x="13403580" y="15262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836</xdr:row>
      <xdr:rowOff>0</xdr:rowOff>
    </xdr:from>
    <xdr:to>
      <xdr:col>64</xdr:col>
      <xdr:colOff>83820</xdr:colOff>
      <xdr:row>836</xdr:row>
      <xdr:rowOff>114300</xdr:rowOff>
    </xdr:to>
    <xdr:sp macro="" textlink="">
      <xdr:nvSpPr>
        <xdr:cNvPr id="6306" name="Arrow: Down 6305">
          <a:extLst>
            <a:ext uri="{FF2B5EF4-FFF2-40B4-BE49-F238E27FC236}">
              <a16:creationId xmlns:a16="http://schemas.microsoft.com/office/drawing/2014/main" id="{FF842677-A58A-4C25-8BF3-383F95BF31E9}"/>
            </a:ext>
          </a:extLst>
        </xdr:cNvPr>
        <xdr:cNvSpPr/>
      </xdr:nvSpPr>
      <xdr:spPr>
        <a:xfrm rot="10800000">
          <a:off x="19392900" y="152803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836</xdr:row>
      <xdr:rowOff>0</xdr:rowOff>
    </xdr:from>
    <xdr:to>
      <xdr:col>24</xdr:col>
      <xdr:colOff>83820</xdr:colOff>
      <xdr:row>836</xdr:row>
      <xdr:rowOff>114300</xdr:rowOff>
    </xdr:to>
    <xdr:sp macro="" textlink="">
      <xdr:nvSpPr>
        <xdr:cNvPr id="6307" name="Arrow: Down 6306">
          <a:extLst>
            <a:ext uri="{FF2B5EF4-FFF2-40B4-BE49-F238E27FC236}">
              <a16:creationId xmlns:a16="http://schemas.microsoft.com/office/drawing/2014/main" id="{7C05B5F1-C3BD-43F8-BDBC-3605E1A46FAE}"/>
            </a:ext>
          </a:extLst>
        </xdr:cNvPr>
        <xdr:cNvSpPr/>
      </xdr:nvSpPr>
      <xdr:spPr>
        <a:xfrm>
          <a:off x="833628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836</xdr:row>
      <xdr:rowOff>0</xdr:rowOff>
    </xdr:from>
    <xdr:to>
      <xdr:col>5</xdr:col>
      <xdr:colOff>83820</xdr:colOff>
      <xdr:row>836</xdr:row>
      <xdr:rowOff>114300</xdr:rowOff>
    </xdr:to>
    <xdr:sp macro="" textlink="">
      <xdr:nvSpPr>
        <xdr:cNvPr id="6311" name="Arrow: Down 6310">
          <a:extLst>
            <a:ext uri="{FF2B5EF4-FFF2-40B4-BE49-F238E27FC236}">
              <a16:creationId xmlns:a16="http://schemas.microsoft.com/office/drawing/2014/main" id="{570F3BE0-A443-478B-85D1-99382D0CEFA6}"/>
            </a:ext>
          </a:extLst>
        </xdr:cNvPr>
        <xdr:cNvSpPr/>
      </xdr:nvSpPr>
      <xdr:spPr>
        <a:xfrm>
          <a:off x="192786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836</xdr:row>
      <xdr:rowOff>0</xdr:rowOff>
    </xdr:from>
    <xdr:to>
      <xdr:col>11</xdr:col>
      <xdr:colOff>83820</xdr:colOff>
      <xdr:row>836</xdr:row>
      <xdr:rowOff>114300</xdr:rowOff>
    </xdr:to>
    <xdr:sp macro="" textlink="">
      <xdr:nvSpPr>
        <xdr:cNvPr id="6312" name="Arrow: Down 6311">
          <a:extLst>
            <a:ext uri="{FF2B5EF4-FFF2-40B4-BE49-F238E27FC236}">
              <a16:creationId xmlns:a16="http://schemas.microsoft.com/office/drawing/2014/main" id="{F1C2A18D-CA95-41C6-98AF-EBF8CA61DC9E}"/>
            </a:ext>
          </a:extLst>
        </xdr:cNvPr>
        <xdr:cNvSpPr/>
      </xdr:nvSpPr>
      <xdr:spPr>
        <a:xfrm>
          <a:off x="369570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836</xdr:row>
      <xdr:rowOff>0</xdr:rowOff>
    </xdr:from>
    <xdr:to>
      <xdr:col>45</xdr:col>
      <xdr:colOff>83820</xdr:colOff>
      <xdr:row>836</xdr:row>
      <xdr:rowOff>114300</xdr:rowOff>
    </xdr:to>
    <xdr:sp macro="" textlink="">
      <xdr:nvSpPr>
        <xdr:cNvPr id="6316" name="Arrow: Down 6315">
          <a:extLst>
            <a:ext uri="{FF2B5EF4-FFF2-40B4-BE49-F238E27FC236}">
              <a16:creationId xmlns:a16="http://schemas.microsoft.com/office/drawing/2014/main" id="{1CDF1342-DE38-4778-B0C2-84EB66ACBE2E}"/>
            </a:ext>
          </a:extLst>
        </xdr:cNvPr>
        <xdr:cNvSpPr/>
      </xdr:nvSpPr>
      <xdr:spPr>
        <a:xfrm rot="10800000">
          <a:off x="13403580" y="152803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836</xdr:row>
      <xdr:rowOff>0</xdr:rowOff>
    </xdr:from>
    <xdr:to>
      <xdr:col>71</xdr:col>
      <xdr:colOff>83820</xdr:colOff>
      <xdr:row>836</xdr:row>
      <xdr:rowOff>114300</xdr:rowOff>
    </xdr:to>
    <xdr:sp macro="" textlink="">
      <xdr:nvSpPr>
        <xdr:cNvPr id="6320" name="Arrow: Down 6319">
          <a:extLst>
            <a:ext uri="{FF2B5EF4-FFF2-40B4-BE49-F238E27FC236}">
              <a16:creationId xmlns:a16="http://schemas.microsoft.com/office/drawing/2014/main" id="{76DAB521-1821-452A-84E5-0B9BA5D20EC5}"/>
            </a:ext>
          </a:extLst>
        </xdr:cNvPr>
        <xdr:cNvSpPr/>
      </xdr:nvSpPr>
      <xdr:spPr>
        <a:xfrm rot="10800000">
          <a:off x="2200656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837</xdr:row>
      <xdr:rowOff>0</xdr:rowOff>
    </xdr:from>
    <xdr:to>
      <xdr:col>64</xdr:col>
      <xdr:colOff>83820</xdr:colOff>
      <xdr:row>837</xdr:row>
      <xdr:rowOff>114300</xdr:rowOff>
    </xdr:to>
    <xdr:sp macro="" textlink="">
      <xdr:nvSpPr>
        <xdr:cNvPr id="6330" name="Arrow: Down 6329">
          <a:extLst>
            <a:ext uri="{FF2B5EF4-FFF2-40B4-BE49-F238E27FC236}">
              <a16:creationId xmlns:a16="http://schemas.microsoft.com/office/drawing/2014/main" id="{2EA5E40A-ABA8-4B74-8B05-556BC547BC62}"/>
            </a:ext>
          </a:extLst>
        </xdr:cNvPr>
        <xdr:cNvSpPr/>
      </xdr:nvSpPr>
      <xdr:spPr>
        <a:xfrm rot="10800000">
          <a:off x="19392900" y="152986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837</xdr:row>
      <xdr:rowOff>0</xdr:rowOff>
    </xdr:from>
    <xdr:to>
      <xdr:col>24</xdr:col>
      <xdr:colOff>83820</xdr:colOff>
      <xdr:row>837</xdr:row>
      <xdr:rowOff>114300</xdr:rowOff>
    </xdr:to>
    <xdr:sp macro="" textlink="">
      <xdr:nvSpPr>
        <xdr:cNvPr id="6333" name="Arrow: Down 6332">
          <a:extLst>
            <a:ext uri="{FF2B5EF4-FFF2-40B4-BE49-F238E27FC236}">
              <a16:creationId xmlns:a16="http://schemas.microsoft.com/office/drawing/2014/main" id="{D05AC3D9-227E-4327-B8FF-0A330E268796}"/>
            </a:ext>
          </a:extLst>
        </xdr:cNvPr>
        <xdr:cNvSpPr/>
      </xdr:nvSpPr>
      <xdr:spPr>
        <a:xfrm>
          <a:off x="8336280" y="1529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837</xdr:row>
      <xdr:rowOff>0</xdr:rowOff>
    </xdr:from>
    <xdr:to>
      <xdr:col>5</xdr:col>
      <xdr:colOff>83820</xdr:colOff>
      <xdr:row>837</xdr:row>
      <xdr:rowOff>114300</xdr:rowOff>
    </xdr:to>
    <xdr:sp macro="" textlink="">
      <xdr:nvSpPr>
        <xdr:cNvPr id="6340" name="Arrow: Down 6339">
          <a:extLst>
            <a:ext uri="{FF2B5EF4-FFF2-40B4-BE49-F238E27FC236}">
              <a16:creationId xmlns:a16="http://schemas.microsoft.com/office/drawing/2014/main" id="{50253906-BC23-4C1E-AB32-8A926711EED8}"/>
            </a:ext>
          </a:extLst>
        </xdr:cNvPr>
        <xdr:cNvSpPr/>
      </xdr:nvSpPr>
      <xdr:spPr>
        <a:xfrm>
          <a:off x="1927860" y="1529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837</xdr:row>
      <xdr:rowOff>0</xdr:rowOff>
    </xdr:from>
    <xdr:to>
      <xdr:col>11</xdr:col>
      <xdr:colOff>83820</xdr:colOff>
      <xdr:row>837</xdr:row>
      <xdr:rowOff>114300</xdr:rowOff>
    </xdr:to>
    <xdr:sp macro="" textlink="">
      <xdr:nvSpPr>
        <xdr:cNvPr id="6342" name="Arrow: Down 6341">
          <a:extLst>
            <a:ext uri="{FF2B5EF4-FFF2-40B4-BE49-F238E27FC236}">
              <a16:creationId xmlns:a16="http://schemas.microsoft.com/office/drawing/2014/main" id="{FAAC6B72-FE93-469F-90AB-C3E5AEF67C11}"/>
            </a:ext>
          </a:extLst>
        </xdr:cNvPr>
        <xdr:cNvSpPr/>
      </xdr:nvSpPr>
      <xdr:spPr>
        <a:xfrm>
          <a:off x="3695700" y="1529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837</xdr:row>
      <xdr:rowOff>0</xdr:rowOff>
    </xdr:from>
    <xdr:to>
      <xdr:col>39</xdr:col>
      <xdr:colOff>83820</xdr:colOff>
      <xdr:row>837</xdr:row>
      <xdr:rowOff>114300</xdr:rowOff>
    </xdr:to>
    <xdr:sp macro="" textlink="">
      <xdr:nvSpPr>
        <xdr:cNvPr id="6353" name="Arrow: Down 6352">
          <a:extLst>
            <a:ext uri="{FF2B5EF4-FFF2-40B4-BE49-F238E27FC236}">
              <a16:creationId xmlns:a16="http://schemas.microsoft.com/office/drawing/2014/main" id="{1FD4643C-0450-47E0-B162-02C9D8455363}"/>
            </a:ext>
          </a:extLst>
        </xdr:cNvPr>
        <xdr:cNvSpPr/>
      </xdr:nvSpPr>
      <xdr:spPr>
        <a:xfrm rot="10800000">
          <a:off x="11544300" y="15298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837</xdr:row>
      <xdr:rowOff>0</xdr:rowOff>
    </xdr:from>
    <xdr:to>
      <xdr:col>45</xdr:col>
      <xdr:colOff>83820</xdr:colOff>
      <xdr:row>837</xdr:row>
      <xdr:rowOff>114300</xdr:rowOff>
    </xdr:to>
    <xdr:sp macro="" textlink="">
      <xdr:nvSpPr>
        <xdr:cNvPr id="6369" name="Arrow: Down 6368">
          <a:extLst>
            <a:ext uri="{FF2B5EF4-FFF2-40B4-BE49-F238E27FC236}">
              <a16:creationId xmlns:a16="http://schemas.microsoft.com/office/drawing/2014/main" id="{A926BFC8-23BE-42A2-BA10-ED07DF4E3770}"/>
            </a:ext>
          </a:extLst>
        </xdr:cNvPr>
        <xdr:cNvSpPr/>
      </xdr:nvSpPr>
      <xdr:spPr>
        <a:xfrm rot="10800000">
          <a:off x="13403580" y="15298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837</xdr:row>
      <xdr:rowOff>0</xdr:rowOff>
    </xdr:from>
    <xdr:to>
      <xdr:col>71</xdr:col>
      <xdr:colOff>83820</xdr:colOff>
      <xdr:row>837</xdr:row>
      <xdr:rowOff>114300</xdr:rowOff>
    </xdr:to>
    <xdr:sp macro="" textlink="">
      <xdr:nvSpPr>
        <xdr:cNvPr id="6371" name="Arrow: Down 6370">
          <a:extLst>
            <a:ext uri="{FF2B5EF4-FFF2-40B4-BE49-F238E27FC236}">
              <a16:creationId xmlns:a16="http://schemas.microsoft.com/office/drawing/2014/main" id="{688A5D16-EC16-48D1-BBFE-0671E0A34FBD}"/>
            </a:ext>
          </a:extLst>
        </xdr:cNvPr>
        <xdr:cNvSpPr/>
      </xdr:nvSpPr>
      <xdr:spPr>
        <a:xfrm rot="10800000">
          <a:off x="22006560" y="1529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832</xdr:row>
      <xdr:rowOff>0</xdr:rowOff>
    </xdr:from>
    <xdr:to>
      <xdr:col>5</xdr:col>
      <xdr:colOff>83820</xdr:colOff>
      <xdr:row>832</xdr:row>
      <xdr:rowOff>114300</xdr:rowOff>
    </xdr:to>
    <xdr:sp macro="" textlink="">
      <xdr:nvSpPr>
        <xdr:cNvPr id="6376" name="Arrow: Down 6375">
          <a:extLst>
            <a:ext uri="{FF2B5EF4-FFF2-40B4-BE49-F238E27FC236}">
              <a16:creationId xmlns:a16="http://schemas.microsoft.com/office/drawing/2014/main" id="{EF4B7F4D-CF1D-4F16-8FC4-BC06985DD68F}"/>
            </a:ext>
          </a:extLst>
        </xdr:cNvPr>
        <xdr:cNvSpPr/>
      </xdr:nvSpPr>
      <xdr:spPr>
        <a:xfrm rot="10800000">
          <a:off x="192786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835</xdr:row>
      <xdr:rowOff>0</xdr:rowOff>
    </xdr:from>
    <xdr:to>
      <xdr:col>11</xdr:col>
      <xdr:colOff>83820</xdr:colOff>
      <xdr:row>835</xdr:row>
      <xdr:rowOff>114300</xdr:rowOff>
    </xdr:to>
    <xdr:sp macro="" textlink="">
      <xdr:nvSpPr>
        <xdr:cNvPr id="6382" name="Arrow: Down 6381">
          <a:extLst>
            <a:ext uri="{FF2B5EF4-FFF2-40B4-BE49-F238E27FC236}">
              <a16:creationId xmlns:a16="http://schemas.microsoft.com/office/drawing/2014/main" id="{17CCE6D7-364F-44DD-82DF-41F734EA58D7}"/>
            </a:ext>
          </a:extLst>
        </xdr:cNvPr>
        <xdr:cNvSpPr/>
      </xdr:nvSpPr>
      <xdr:spPr>
        <a:xfrm rot="10800000">
          <a:off x="369570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833</xdr:row>
      <xdr:rowOff>0</xdr:rowOff>
    </xdr:from>
    <xdr:to>
      <xdr:col>5</xdr:col>
      <xdr:colOff>83820</xdr:colOff>
      <xdr:row>833</xdr:row>
      <xdr:rowOff>114300</xdr:rowOff>
    </xdr:to>
    <xdr:sp macro="" textlink="">
      <xdr:nvSpPr>
        <xdr:cNvPr id="6396" name="Arrow: Down 6395">
          <a:extLst>
            <a:ext uri="{FF2B5EF4-FFF2-40B4-BE49-F238E27FC236}">
              <a16:creationId xmlns:a16="http://schemas.microsoft.com/office/drawing/2014/main" id="{22D13330-07FE-478F-87E7-58F124BCA214}"/>
            </a:ext>
          </a:extLst>
        </xdr:cNvPr>
        <xdr:cNvSpPr/>
      </xdr:nvSpPr>
      <xdr:spPr>
        <a:xfrm rot="10800000">
          <a:off x="192786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834</xdr:row>
      <xdr:rowOff>0</xdr:rowOff>
    </xdr:from>
    <xdr:to>
      <xdr:col>11</xdr:col>
      <xdr:colOff>83820</xdr:colOff>
      <xdr:row>834</xdr:row>
      <xdr:rowOff>114300</xdr:rowOff>
    </xdr:to>
    <xdr:sp macro="" textlink="">
      <xdr:nvSpPr>
        <xdr:cNvPr id="6404" name="Arrow: Down 6403">
          <a:extLst>
            <a:ext uri="{FF2B5EF4-FFF2-40B4-BE49-F238E27FC236}">
              <a16:creationId xmlns:a16="http://schemas.microsoft.com/office/drawing/2014/main" id="{B8735071-524B-4E4D-97D4-35BD6D82F3E6}"/>
            </a:ext>
          </a:extLst>
        </xdr:cNvPr>
        <xdr:cNvSpPr/>
      </xdr:nvSpPr>
      <xdr:spPr>
        <a:xfrm rot="10800000">
          <a:off x="369570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834</xdr:row>
      <xdr:rowOff>0</xdr:rowOff>
    </xdr:from>
    <xdr:to>
      <xdr:col>5</xdr:col>
      <xdr:colOff>83820</xdr:colOff>
      <xdr:row>834</xdr:row>
      <xdr:rowOff>114300</xdr:rowOff>
    </xdr:to>
    <xdr:sp macro="" textlink="">
      <xdr:nvSpPr>
        <xdr:cNvPr id="6416" name="Arrow: Down 6415">
          <a:extLst>
            <a:ext uri="{FF2B5EF4-FFF2-40B4-BE49-F238E27FC236}">
              <a16:creationId xmlns:a16="http://schemas.microsoft.com/office/drawing/2014/main" id="{4D625252-A339-4CBE-A6C2-B2854E8481E3}"/>
            </a:ext>
          </a:extLst>
        </xdr:cNvPr>
        <xdr:cNvSpPr/>
      </xdr:nvSpPr>
      <xdr:spPr>
        <a:xfrm rot="10800000">
          <a:off x="192786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833</xdr:row>
      <xdr:rowOff>0</xdr:rowOff>
    </xdr:from>
    <xdr:to>
      <xdr:col>11</xdr:col>
      <xdr:colOff>83820</xdr:colOff>
      <xdr:row>833</xdr:row>
      <xdr:rowOff>114300</xdr:rowOff>
    </xdr:to>
    <xdr:sp macro="" textlink="">
      <xdr:nvSpPr>
        <xdr:cNvPr id="6417" name="Arrow: Down 6416">
          <a:extLst>
            <a:ext uri="{FF2B5EF4-FFF2-40B4-BE49-F238E27FC236}">
              <a16:creationId xmlns:a16="http://schemas.microsoft.com/office/drawing/2014/main" id="{CB0CAEF9-A7A6-442C-8A73-5E288A7F54A9}"/>
            </a:ext>
          </a:extLst>
        </xdr:cNvPr>
        <xdr:cNvSpPr/>
      </xdr:nvSpPr>
      <xdr:spPr>
        <a:xfrm rot="10800000">
          <a:off x="369570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835</xdr:row>
      <xdr:rowOff>0</xdr:rowOff>
    </xdr:from>
    <xdr:to>
      <xdr:col>5</xdr:col>
      <xdr:colOff>83820</xdr:colOff>
      <xdr:row>835</xdr:row>
      <xdr:rowOff>114300</xdr:rowOff>
    </xdr:to>
    <xdr:sp macro="" textlink="">
      <xdr:nvSpPr>
        <xdr:cNvPr id="6419" name="Arrow: Down 6418">
          <a:extLst>
            <a:ext uri="{FF2B5EF4-FFF2-40B4-BE49-F238E27FC236}">
              <a16:creationId xmlns:a16="http://schemas.microsoft.com/office/drawing/2014/main" id="{385E09B7-07ED-45B8-99F1-AF649ECC7BED}"/>
            </a:ext>
          </a:extLst>
        </xdr:cNvPr>
        <xdr:cNvSpPr/>
      </xdr:nvSpPr>
      <xdr:spPr>
        <a:xfrm rot="10800000">
          <a:off x="192786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832</xdr:row>
      <xdr:rowOff>0</xdr:rowOff>
    </xdr:from>
    <xdr:to>
      <xdr:col>11</xdr:col>
      <xdr:colOff>83820</xdr:colOff>
      <xdr:row>832</xdr:row>
      <xdr:rowOff>114300</xdr:rowOff>
    </xdr:to>
    <xdr:sp macro="" textlink="">
      <xdr:nvSpPr>
        <xdr:cNvPr id="6421" name="Arrow: Down 6420">
          <a:extLst>
            <a:ext uri="{FF2B5EF4-FFF2-40B4-BE49-F238E27FC236}">
              <a16:creationId xmlns:a16="http://schemas.microsoft.com/office/drawing/2014/main" id="{668E3504-97E5-40D8-891B-C07AA2F08A2D}"/>
            </a:ext>
          </a:extLst>
        </xdr:cNvPr>
        <xdr:cNvSpPr/>
      </xdr:nvSpPr>
      <xdr:spPr>
        <a:xfrm rot="10800000">
          <a:off x="369570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831</xdr:row>
      <xdr:rowOff>0</xdr:rowOff>
    </xdr:from>
    <xdr:to>
      <xdr:col>24</xdr:col>
      <xdr:colOff>83820</xdr:colOff>
      <xdr:row>831</xdr:row>
      <xdr:rowOff>114300</xdr:rowOff>
    </xdr:to>
    <xdr:sp macro="" textlink="">
      <xdr:nvSpPr>
        <xdr:cNvPr id="6422" name="Arrow: Down 6421">
          <a:extLst>
            <a:ext uri="{FF2B5EF4-FFF2-40B4-BE49-F238E27FC236}">
              <a16:creationId xmlns:a16="http://schemas.microsoft.com/office/drawing/2014/main" id="{13746954-30D4-46BE-958C-611FFA141090}"/>
            </a:ext>
          </a:extLst>
        </xdr:cNvPr>
        <xdr:cNvSpPr/>
      </xdr:nvSpPr>
      <xdr:spPr>
        <a:xfrm rot="10800000">
          <a:off x="8336280" y="1520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832</xdr:row>
      <xdr:rowOff>0</xdr:rowOff>
    </xdr:from>
    <xdr:to>
      <xdr:col>24</xdr:col>
      <xdr:colOff>83820</xdr:colOff>
      <xdr:row>832</xdr:row>
      <xdr:rowOff>114300</xdr:rowOff>
    </xdr:to>
    <xdr:sp macro="" textlink="">
      <xdr:nvSpPr>
        <xdr:cNvPr id="6423" name="Arrow: Down 6422">
          <a:extLst>
            <a:ext uri="{FF2B5EF4-FFF2-40B4-BE49-F238E27FC236}">
              <a16:creationId xmlns:a16="http://schemas.microsoft.com/office/drawing/2014/main" id="{09F6C32B-7254-4D1E-AF0E-0BFF5F9BB5E7}"/>
            </a:ext>
          </a:extLst>
        </xdr:cNvPr>
        <xdr:cNvSpPr/>
      </xdr:nvSpPr>
      <xdr:spPr>
        <a:xfrm rot="10800000">
          <a:off x="833628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833</xdr:row>
      <xdr:rowOff>0</xdr:rowOff>
    </xdr:from>
    <xdr:to>
      <xdr:col>24</xdr:col>
      <xdr:colOff>83820</xdr:colOff>
      <xdr:row>833</xdr:row>
      <xdr:rowOff>114300</xdr:rowOff>
    </xdr:to>
    <xdr:sp macro="" textlink="">
      <xdr:nvSpPr>
        <xdr:cNvPr id="6424" name="Arrow: Down 6423">
          <a:extLst>
            <a:ext uri="{FF2B5EF4-FFF2-40B4-BE49-F238E27FC236}">
              <a16:creationId xmlns:a16="http://schemas.microsoft.com/office/drawing/2014/main" id="{09806971-7090-440C-AD7B-1D8DAFBCAE19}"/>
            </a:ext>
          </a:extLst>
        </xdr:cNvPr>
        <xdr:cNvSpPr/>
      </xdr:nvSpPr>
      <xdr:spPr>
        <a:xfrm rot="10800000">
          <a:off x="833628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831</xdr:row>
      <xdr:rowOff>0</xdr:rowOff>
    </xdr:from>
    <xdr:to>
      <xdr:col>11</xdr:col>
      <xdr:colOff>83820</xdr:colOff>
      <xdr:row>831</xdr:row>
      <xdr:rowOff>114300</xdr:rowOff>
    </xdr:to>
    <xdr:sp macro="" textlink="">
      <xdr:nvSpPr>
        <xdr:cNvPr id="6426" name="Arrow: Down 6425">
          <a:extLst>
            <a:ext uri="{FF2B5EF4-FFF2-40B4-BE49-F238E27FC236}">
              <a16:creationId xmlns:a16="http://schemas.microsoft.com/office/drawing/2014/main" id="{1BD94B0B-6F27-4B34-9345-A7C2F962906E}"/>
            </a:ext>
          </a:extLst>
        </xdr:cNvPr>
        <xdr:cNvSpPr/>
      </xdr:nvSpPr>
      <xdr:spPr>
        <a:xfrm>
          <a:off x="3695700" y="1520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836</xdr:row>
      <xdr:rowOff>0</xdr:rowOff>
    </xdr:from>
    <xdr:to>
      <xdr:col>39</xdr:col>
      <xdr:colOff>83820</xdr:colOff>
      <xdr:row>836</xdr:row>
      <xdr:rowOff>114300</xdr:rowOff>
    </xdr:to>
    <xdr:sp macro="" textlink="">
      <xdr:nvSpPr>
        <xdr:cNvPr id="6427" name="Arrow: Down 6426">
          <a:extLst>
            <a:ext uri="{FF2B5EF4-FFF2-40B4-BE49-F238E27FC236}">
              <a16:creationId xmlns:a16="http://schemas.microsoft.com/office/drawing/2014/main" id="{9FB9572C-9EB1-44A3-BDDF-ABA1E487DC20}"/>
            </a:ext>
          </a:extLst>
        </xdr:cNvPr>
        <xdr:cNvSpPr/>
      </xdr:nvSpPr>
      <xdr:spPr>
        <a:xfrm>
          <a:off x="11544300" y="1529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831</xdr:row>
      <xdr:rowOff>0</xdr:rowOff>
    </xdr:from>
    <xdr:to>
      <xdr:col>39</xdr:col>
      <xdr:colOff>83820</xdr:colOff>
      <xdr:row>831</xdr:row>
      <xdr:rowOff>114300</xdr:rowOff>
    </xdr:to>
    <xdr:sp macro="" textlink="">
      <xdr:nvSpPr>
        <xdr:cNvPr id="6428" name="Arrow: Down 6427">
          <a:extLst>
            <a:ext uri="{FF2B5EF4-FFF2-40B4-BE49-F238E27FC236}">
              <a16:creationId xmlns:a16="http://schemas.microsoft.com/office/drawing/2014/main" id="{DD26523C-C740-42FF-91D8-6D96A26D59FD}"/>
            </a:ext>
          </a:extLst>
        </xdr:cNvPr>
        <xdr:cNvSpPr/>
      </xdr:nvSpPr>
      <xdr:spPr>
        <a:xfrm>
          <a:off x="11544300" y="1520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834</xdr:row>
      <xdr:rowOff>0</xdr:rowOff>
    </xdr:from>
    <xdr:to>
      <xdr:col>39</xdr:col>
      <xdr:colOff>83820</xdr:colOff>
      <xdr:row>834</xdr:row>
      <xdr:rowOff>114300</xdr:rowOff>
    </xdr:to>
    <xdr:sp macro="" textlink="">
      <xdr:nvSpPr>
        <xdr:cNvPr id="6429" name="Arrow: Down 6428">
          <a:extLst>
            <a:ext uri="{FF2B5EF4-FFF2-40B4-BE49-F238E27FC236}">
              <a16:creationId xmlns:a16="http://schemas.microsoft.com/office/drawing/2014/main" id="{6CE62247-28FE-4402-B7F5-CC69FB9C4049}"/>
            </a:ext>
          </a:extLst>
        </xdr:cNvPr>
        <xdr:cNvSpPr/>
      </xdr:nvSpPr>
      <xdr:spPr>
        <a:xfrm>
          <a:off x="1154430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835</xdr:row>
      <xdr:rowOff>0</xdr:rowOff>
    </xdr:from>
    <xdr:to>
      <xdr:col>39</xdr:col>
      <xdr:colOff>83820</xdr:colOff>
      <xdr:row>835</xdr:row>
      <xdr:rowOff>114300</xdr:rowOff>
    </xdr:to>
    <xdr:sp macro="" textlink="">
      <xdr:nvSpPr>
        <xdr:cNvPr id="6430" name="Arrow: Down 6429">
          <a:extLst>
            <a:ext uri="{FF2B5EF4-FFF2-40B4-BE49-F238E27FC236}">
              <a16:creationId xmlns:a16="http://schemas.microsoft.com/office/drawing/2014/main" id="{80BE7608-C0B5-43AE-A8EE-12B91557B4B9}"/>
            </a:ext>
          </a:extLst>
        </xdr:cNvPr>
        <xdr:cNvSpPr/>
      </xdr:nvSpPr>
      <xdr:spPr>
        <a:xfrm>
          <a:off x="1154430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835</xdr:row>
      <xdr:rowOff>0</xdr:rowOff>
    </xdr:from>
    <xdr:to>
      <xdr:col>71</xdr:col>
      <xdr:colOff>83820</xdr:colOff>
      <xdr:row>835</xdr:row>
      <xdr:rowOff>114300</xdr:rowOff>
    </xdr:to>
    <xdr:sp macro="" textlink="">
      <xdr:nvSpPr>
        <xdr:cNvPr id="6431" name="Arrow: Down 6430">
          <a:extLst>
            <a:ext uri="{FF2B5EF4-FFF2-40B4-BE49-F238E27FC236}">
              <a16:creationId xmlns:a16="http://schemas.microsoft.com/office/drawing/2014/main" id="{AFE93830-CAC5-4188-90A9-DB758D058E16}"/>
            </a:ext>
          </a:extLst>
        </xdr:cNvPr>
        <xdr:cNvSpPr/>
      </xdr:nvSpPr>
      <xdr:spPr>
        <a:xfrm>
          <a:off x="2200656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834</xdr:row>
      <xdr:rowOff>0</xdr:rowOff>
    </xdr:from>
    <xdr:to>
      <xdr:col>60</xdr:col>
      <xdr:colOff>83820</xdr:colOff>
      <xdr:row>834</xdr:row>
      <xdr:rowOff>114300</xdr:rowOff>
    </xdr:to>
    <xdr:sp macro="" textlink="">
      <xdr:nvSpPr>
        <xdr:cNvPr id="6432" name="Arrow: Down 6431">
          <a:extLst>
            <a:ext uri="{FF2B5EF4-FFF2-40B4-BE49-F238E27FC236}">
              <a16:creationId xmlns:a16="http://schemas.microsoft.com/office/drawing/2014/main" id="{20EA8021-128C-4FDE-ABCC-39D6E1FB3147}"/>
            </a:ext>
          </a:extLst>
        </xdr:cNvPr>
        <xdr:cNvSpPr/>
      </xdr:nvSpPr>
      <xdr:spPr>
        <a:xfrm rot="10800000">
          <a:off x="1912620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837</xdr:row>
      <xdr:rowOff>0</xdr:rowOff>
    </xdr:from>
    <xdr:to>
      <xdr:col>60</xdr:col>
      <xdr:colOff>83820</xdr:colOff>
      <xdr:row>837</xdr:row>
      <xdr:rowOff>114300</xdr:rowOff>
    </xdr:to>
    <xdr:sp macro="" textlink="">
      <xdr:nvSpPr>
        <xdr:cNvPr id="6433" name="Arrow: Down 6432">
          <a:extLst>
            <a:ext uri="{FF2B5EF4-FFF2-40B4-BE49-F238E27FC236}">
              <a16:creationId xmlns:a16="http://schemas.microsoft.com/office/drawing/2014/main" id="{03327F9F-9CF4-404C-9529-2713ABFE8546}"/>
            </a:ext>
          </a:extLst>
        </xdr:cNvPr>
        <xdr:cNvSpPr/>
      </xdr:nvSpPr>
      <xdr:spPr>
        <a:xfrm rot="10800000">
          <a:off x="19126200" y="1531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836</xdr:row>
      <xdr:rowOff>0</xdr:rowOff>
    </xdr:from>
    <xdr:to>
      <xdr:col>60</xdr:col>
      <xdr:colOff>83820</xdr:colOff>
      <xdr:row>836</xdr:row>
      <xdr:rowOff>114300</xdr:rowOff>
    </xdr:to>
    <xdr:sp macro="" textlink="">
      <xdr:nvSpPr>
        <xdr:cNvPr id="6434" name="Arrow: Down 6433">
          <a:extLst>
            <a:ext uri="{FF2B5EF4-FFF2-40B4-BE49-F238E27FC236}">
              <a16:creationId xmlns:a16="http://schemas.microsoft.com/office/drawing/2014/main" id="{518EF3F0-F467-4ACF-A9C8-AA375ECE0353}"/>
            </a:ext>
          </a:extLst>
        </xdr:cNvPr>
        <xdr:cNvSpPr/>
      </xdr:nvSpPr>
      <xdr:spPr>
        <a:xfrm rot="10800000">
          <a:off x="19126200" y="1529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838</xdr:row>
      <xdr:rowOff>0</xdr:rowOff>
    </xdr:from>
    <xdr:to>
      <xdr:col>64</xdr:col>
      <xdr:colOff>83820</xdr:colOff>
      <xdr:row>838</xdr:row>
      <xdr:rowOff>114300</xdr:rowOff>
    </xdr:to>
    <xdr:sp macro="" textlink="">
      <xdr:nvSpPr>
        <xdr:cNvPr id="6162" name="Arrow: Down 6161">
          <a:extLst>
            <a:ext uri="{FF2B5EF4-FFF2-40B4-BE49-F238E27FC236}">
              <a16:creationId xmlns:a16="http://schemas.microsoft.com/office/drawing/2014/main" id="{26F51A5D-C6DD-4BA5-8A2F-305F26F487D7}"/>
            </a:ext>
          </a:extLst>
        </xdr:cNvPr>
        <xdr:cNvSpPr/>
      </xdr:nvSpPr>
      <xdr:spPr>
        <a:xfrm rot="10800000">
          <a:off x="19392900" y="153169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838</xdr:row>
      <xdr:rowOff>0</xdr:rowOff>
    </xdr:from>
    <xdr:to>
      <xdr:col>39</xdr:col>
      <xdr:colOff>83820</xdr:colOff>
      <xdr:row>838</xdr:row>
      <xdr:rowOff>114300</xdr:rowOff>
    </xdr:to>
    <xdr:sp macro="" textlink="">
      <xdr:nvSpPr>
        <xdr:cNvPr id="6233" name="Arrow: Down 6232">
          <a:extLst>
            <a:ext uri="{FF2B5EF4-FFF2-40B4-BE49-F238E27FC236}">
              <a16:creationId xmlns:a16="http://schemas.microsoft.com/office/drawing/2014/main" id="{44C2504F-6CFC-4088-A087-C83E4FF8CDAC}"/>
            </a:ext>
          </a:extLst>
        </xdr:cNvPr>
        <xdr:cNvSpPr/>
      </xdr:nvSpPr>
      <xdr:spPr>
        <a:xfrm rot="10800000">
          <a:off x="11544300" y="15316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838</xdr:row>
      <xdr:rowOff>0</xdr:rowOff>
    </xdr:from>
    <xdr:to>
      <xdr:col>45</xdr:col>
      <xdr:colOff>83820</xdr:colOff>
      <xdr:row>838</xdr:row>
      <xdr:rowOff>114300</xdr:rowOff>
    </xdr:to>
    <xdr:sp macro="" textlink="">
      <xdr:nvSpPr>
        <xdr:cNvPr id="6267" name="Arrow: Down 6266">
          <a:extLst>
            <a:ext uri="{FF2B5EF4-FFF2-40B4-BE49-F238E27FC236}">
              <a16:creationId xmlns:a16="http://schemas.microsoft.com/office/drawing/2014/main" id="{F3416CF1-9C1F-4B2A-AAD3-A415C747FA6C}"/>
            </a:ext>
          </a:extLst>
        </xdr:cNvPr>
        <xdr:cNvSpPr/>
      </xdr:nvSpPr>
      <xdr:spPr>
        <a:xfrm rot="10800000">
          <a:off x="13403580" y="15316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839</xdr:row>
      <xdr:rowOff>0</xdr:rowOff>
    </xdr:from>
    <xdr:to>
      <xdr:col>64</xdr:col>
      <xdr:colOff>83820</xdr:colOff>
      <xdr:row>839</xdr:row>
      <xdr:rowOff>114300</xdr:rowOff>
    </xdr:to>
    <xdr:sp macro="" textlink="">
      <xdr:nvSpPr>
        <xdr:cNvPr id="6280" name="Arrow: Down 6279">
          <a:extLst>
            <a:ext uri="{FF2B5EF4-FFF2-40B4-BE49-F238E27FC236}">
              <a16:creationId xmlns:a16="http://schemas.microsoft.com/office/drawing/2014/main" id="{63016D32-F1F8-44BB-BFD9-544BEDCF2912}"/>
            </a:ext>
          </a:extLst>
        </xdr:cNvPr>
        <xdr:cNvSpPr/>
      </xdr:nvSpPr>
      <xdr:spPr>
        <a:xfrm rot="10800000">
          <a:off x="19392900" y="153352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839</xdr:row>
      <xdr:rowOff>0</xdr:rowOff>
    </xdr:from>
    <xdr:to>
      <xdr:col>39</xdr:col>
      <xdr:colOff>83820</xdr:colOff>
      <xdr:row>839</xdr:row>
      <xdr:rowOff>114300</xdr:rowOff>
    </xdr:to>
    <xdr:sp macro="" textlink="">
      <xdr:nvSpPr>
        <xdr:cNvPr id="6301" name="Arrow: Down 6300">
          <a:extLst>
            <a:ext uri="{FF2B5EF4-FFF2-40B4-BE49-F238E27FC236}">
              <a16:creationId xmlns:a16="http://schemas.microsoft.com/office/drawing/2014/main" id="{0E00578C-552B-4567-AF5C-9B57991995A8}"/>
            </a:ext>
          </a:extLst>
        </xdr:cNvPr>
        <xdr:cNvSpPr/>
      </xdr:nvSpPr>
      <xdr:spPr>
        <a:xfrm rot="10800000">
          <a:off x="11544300" y="15335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839</xdr:row>
      <xdr:rowOff>0</xdr:rowOff>
    </xdr:from>
    <xdr:to>
      <xdr:col>45</xdr:col>
      <xdr:colOff>83820</xdr:colOff>
      <xdr:row>839</xdr:row>
      <xdr:rowOff>114300</xdr:rowOff>
    </xdr:to>
    <xdr:sp macro="" textlink="">
      <xdr:nvSpPr>
        <xdr:cNvPr id="6302" name="Arrow: Down 6301">
          <a:extLst>
            <a:ext uri="{FF2B5EF4-FFF2-40B4-BE49-F238E27FC236}">
              <a16:creationId xmlns:a16="http://schemas.microsoft.com/office/drawing/2014/main" id="{E003CD1A-FADD-4252-8B0F-6457F0D30B74}"/>
            </a:ext>
          </a:extLst>
        </xdr:cNvPr>
        <xdr:cNvSpPr/>
      </xdr:nvSpPr>
      <xdr:spPr>
        <a:xfrm rot="10800000">
          <a:off x="13403580" y="15335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839</xdr:row>
      <xdr:rowOff>0</xdr:rowOff>
    </xdr:from>
    <xdr:to>
      <xdr:col>71</xdr:col>
      <xdr:colOff>83820</xdr:colOff>
      <xdr:row>839</xdr:row>
      <xdr:rowOff>114300</xdr:rowOff>
    </xdr:to>
    <xdr:sp macro="" textlink="">
      <xdr:nvSpPr>
        <xdr:cNvPr id="6303" name="Arrow: Down 6302">
          <a:extLst>
            <a:ext uri="{FF2B5EF4-FFF2-40B4-BE49-F238E27FC236}">
              <a16:creationId xmlns:a16="http://schemas.microsoft.com/office/drawing/2014/main" id="{478737AC-6AC7-429E-AE37-BF141447A8F9}"/>
            </a:ext>
          </a:extLst>
        </xdr:cNvPr>
        <xdr:cNvSpPr/>
      </xdr:nvSpPr>
      <xdr:spPr>
        <a:xfrm rot="10800000">
          <a:off x="2200656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839</xdr:row>
      <xdr:rowOff>0</xdr:rowOff>
    </xdr:from>
    <xdr:to>
      <xdr:col>60</xdr:col>
      <xdr:colOff>83820</xdr:colOff>
      <xdr:row>839</xdr:row>
      <xdr:rowOff>114300</xdr:rowOff>
    </xdr:to>
    <xdr:sp macro="" textlink="">
      <xdr:nvSpPr>
        <xdr:cNvPr id="6305" name="Arrow: Down 6304">
          <a:extLst>
            <a:ext uri="{FF2B5EF4-FFF2-40B4-BE49-F238E27FC236}">
              <a16:creationId xmlns:a16="http://schemas.microsoft.com/office/drawing/2014/main" id="{562C3555-7399-4CB9-9A67-99D60C7CF536}"/>
            </a:ext>
          </a:extLst>
        </xdr:cNvPr>
        <xdr:cNvSpPr/>
      </xdr:nvSpPr>
      <xdr:spPr>
        <a:xfrm rot="10800000">
          <a:off x="1912620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840</xdr:row>
      <xdr:rowOff>0</xdr:rowOff>
    </xdr:from>
    <xdr:to>
      <xdr:col>64</xdr:col>
      <xdr:colOff>83820</xdr:colOff>
      <xdr:row>840</xdr:row>
      <xdr:rowOff>114300</xdr:rowOff>
    </xdr:to>
    <xdr:sp macro="" textlink="">
      <xdr:nvSpPr>
        <xdr:cNvPr id="6308" name="Arrow: Down 6307">
          <a:extLst>
            <a:ext uri="{FF2B5EF4-FFF2-40B4-BE49-F238E27FC236}">
              <a16:creationId xmlns:a16="http://schemas.microsoft.com/office/drawing/2014/main" id="{E02140E1-6C10-4483-BE83-6ECB4D4CF190}"/>
            </a:ext>
          </a:extLst>
        </xdr:cNvPr>
        <xdr:cNvSpPr/>
      </xdr:nvSpPr>
      <xdr:spPr>
        <a:xfrm rot="10800000">
          <a:off x="19392900" y="153535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840</xdr:row>
      <xdr:rowOff>0</xdr:rowOff>
    </xdr:from>
    <xdr:to>
      <xdr:col>45</xdr:col>
      <xdr:colOff>83820</xdr:colOff>
      <xdr:row>840</xdr:row>
      <xdr:rowOff>114300</xdr:rowOff>
    </xdr:to>
    <xdr:sp macro="" textlink="">
      <xdr:nvSpPr>
        <xdr:cNvPr id="6402" name="Arrow: Down 6401">
          <a:extLst>
            <a:ext uri="{FF2B5EF4-FFF2-40B4-BE49-F238E27FC236}">
              <a16:creationId xmlns:a16="http://schemas.microsoft.com/office/drawing/2014/main" id="{C39C968B-01DA-4D57-8432-D1DA1009E818}"/>
            </a:ext>
          </a:extLst>
        </xdr:cNvPr>
        <xdr:cNvSpPr/>
      </xdr:nvSpPr>
      <xdr:spPr>
        <a:xfrm rot="10800000">
          <a:off x="13403580" y="15353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840</xdr:row>
      <xdr:rowOff>0</xdr:rowOff>
    </xdr:from>
    <xdr:to>
      <xdr:col>71</xdr:col>
      <xdr:colOff>83820</xdr:colOff>
      <xdr:row>840</xdr:row>
      <xdr:rowOff>114300</xdr:rowOff>
    </xdr:to>
    <xdr:sp macro="" textlink="">
      <xdr:nvSpPr>
        <xdr:cNvPr id="6412" name="Arrow: Down 6411">
          <a:extLst>
            <a:ext uri="{FF2B5EF4-FFF2-40B4-BE49-F238E27FC236}">
              <a16:creationId xmlns:a16="http://schemas.microsoft.com/office/drawing/2014/main" id="{F79AC289-D9BD-4E67-827A-3B55EEE06FBE}"/>
            </a:ext>
          </a:extLst>
        </xdr:cNvPr>
        <xdr:cNvSpPr/>
      </xdr:nvSpPr>
      <xdr:spPr>
        <a:xfrm rot="10800000">
          <a:off x="2200656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841</xdr:row>
      <xdr:rowOff>0</xdr:rowOff>
    </xdr:from>
    <xdr:to>
      <xdr:col>64</xdr:col>
      <xdr:colOff>83820</xdr:colOff>
      <xdr:row>841</xdr:row>
      <xdr:rowOff>114300</xdr:rowOff>
    </xdr:to>
    <xdr:sp macro="" textlink="">
      <xdr:nvSpPr>
        <xdr:cNvPr id="6420" name="Arrow: Down 6419">
          <a:extLst>
            <a:ext uri="{FF2B5EF4-FFF2-40B4-BE49-F238E27FC236}">
              <a16:creationId xmlns:a16="http://schemas.microsoft.com/office/drawing/2014/main" id="{A4DB54E0-C307-436B-9E96-B18E19DCD7F5}"/>
            </a:ext>
          </a:extLst>
        </xdr:cNvPr>
        <xdr:cNvSpPr/>
      </xdr:nvSpPr>
      <xdr:spPr>
        <a:xfrm rot="10800000">
          <a:off x="19392900" y="153718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841</xdr:row>
      <xdr:rowOff>0</xdr:rowOff>
    </xdr:from>
    <xdr:to>
      <xdr:col>24</xdr:col>
      <xdr:colOff>83820</xdr:colOff>
      <xdr:row>841</xdr:row>
      <xdr:rowOff>114300</xdr:rowOff>
    </xdr:to>
    <xdr:sp macro="" textlink="">
      <xdr:nvSpPr>
        <xdr:cNvPr id="6425" name="Arrow: Down 6424">
          <a:extLst>
            <a:ext uri="{FF2B5EF4-FFF2-40B4-BE49-F238E27FC236}">
              <a16:creationId xmlns:a16="http://schemas.microsoft.com/office/drawing/2014/main" id="{BFFE6413-BDAC-44CA-8D7B-188EC802B60E}"/>
            </a:ext>
          </a:extLst>
        </xdr:cNvPr>
        <xdr:cNvSpPr/>
      </xdr:nvSpPr>
      <xdr:spPr>
        <a:xfrm>
          <a:off x="833628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841</xdr:row>
      <xdr:rowOff>0</xdr:rowOff>
    </xdr:from>
    <xdr:to>
      <xdr:col>5</xdr:col>
      <xdr:colOff>83820</xdr:colOff>
      <xdr:row>841</xdr:row>
      <xdr:rowOff>114300</xdr:rowOff>
    </xdr:to>
    <xdr:sp macro="" textlink="">
      <xdr:nvSpPr>
        <xdr:cNvPr id="6435" name="Arrow: Down 6434">
          <a:extLst>
            <a:ext uri="{FF2B5EF4-FFF2-40B4-BE49-F238E27FC236}">
              <a16:creationId xmlns:a16="http://schemas.microsoft.com/office/drawing/2014/main" id="{E11A542A-8ABC-4154-9C4A-D9A22C1EA0DA}"/>
            </a:ext>
          </a:extLst>
        </xdr:cNvPr>
        <xdr:cNvSpPr/>
      </xdr:nvSpPr>
      <xdr:spPr>
        <a:xfrm>
          <a:off x="192786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841</xdr:row>
      <xdr:rowOff>0</xdr:rowOff>
    </xdr:from>
    <xdr:to>
      <xdr:col>11</xdr:col>
      <xdr:colOff>83820</xdr:colOff>
      <xdr:row>841</xdr:row>
      <xdr:rowOff>114300</xdr:rowOff>
    </xdr:to>
    <xdr:sp macro="" textlink="">
      <xdr:nvSpPr>
        <xdr:cNvPr id="6436" name="Arrow: Down 6435">
          <a:extLst>
            <a:ext uri="{FF2B5EF4-FFF2-40B4-BE49-F238E27FC236}">
              <a16:creationId xmlns:a16="http://schemas.microsoft.com/office/drawing/2014/main" id="{D12C32FD-12AA-4A50-A715-D502FEDE1474}"/>
            </a:ext>
          </a:extLst>
        </xdr:cNvPr>
        <xdr:cNvSpPr/>
      </xdr:nvSpPr>
      <xdr:spPr>
        <a:xfrm>
          <a:off x="369570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841</xdr:row>
      <xdr:rowOff>0</xdr:rowOff>
    </xdr:from>
    <xdr:to>
      <xdr:col>39</xdr:col>
      <xdr:colOff>83820</xdr:colOff>
      <xdr:row>841</xdr:row>
      <xdr:rowOff>114300</xdr:rowOff>
    </xdr:to>
    <xdr:sp macro="" textlink="">
      <xdr:nvSpPr>
        <xdr:cNvPr id="6437" name="Arrow: Down 6436">
          <a:extLst>
            <a:ext uri="{FF2B5EF4-FFF2-40B4-BE49-F238E27FC236}">
              <a16:creationId xmlns:a16="http://schemas.microsoft.com/office/drawing/2014/main" id="{7205CD7E-F9DC-42EF-9B8B-03E7A984072A}"/>
            </a:ext>
          </a:extLst>
        </xdr:cNvPr>
        <xdr:cNvSpPr/>
      </xdr:nvSpPr>
      <xdr:spPr>
        <a:xfrm rot="10800000">
          <a:off x="11544300" y="153718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841</xdr:row>
      <xdr:rowOff>0</xdr:rowOff>
    </xdr:from>
    <xdr:to>
      <xdr:col>45</xdr:col>
      <xdr:colOff>83820</xdr:colOff>
      <xdr:row>841</xdr:row>
      <xdr:rowOff>114300</xdr:rowOff>
    </xdr:to>
    <xdr:sp macro="" textlink="">
      <xdr:nvSpPr>
        <xdr:cNvPr id="6438" name="Arrow: Down 6437">
          <a:extLst>
            <a:ext uri="{FF2B5EF4-FFF2-40B4-BE49-F238E27FC236}">
              <a16:creationId xmlns:a16="http://schemas.microsoft.com/office/drawing/2014/main" id="{6523CC8A-F1E8-4111-8E71-BA5EF0E66391}"/>
            </a:ext>
          </a:extLst>
        </xdr:cNvPr>
        <xdr:cNvSpPr/>
      </xdr:nvSpPr>
      <xdr:spPr>
        <a:xfrm rot="10800000">
          <a:off x="13403580" y="153718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841</xdr:row>
      <xdr:rowOff>0</xdr:rowOff>
    </xdr:from>
    <xdr:to>
      <xdr:col>71</xdr:col>
      <xdr:colOff>83820</xdr:colOff>
      <xdr:row>841</xdr:row>
      <xdr:rowOff>114300</xdr:rowOff>
    </xdr:to>
    <xdr:sp macro="" textlink="">
      <xdr:nvSpPr>
        <xdr:cNvPr id="6439" name="Arrow: Down 6438">
          <a:extLst>
            <a:ext uri="{FF2B5EF4-FFF2-40B4-BE49-F238E27FC236}">
              <a16:creationId xmlns:a16="http://schemas.microsoft.com/office/drawing/2014/main" id="{24C2B74A-7D81-4269-A3E3-2C5849940EF4}"/>
            </a:ext>
          </a:extLst>
        </xdr:cNvPr>
        <xdr:cNvSpPr/>
      </xdr:nvSpPr>
      <xdr:spPr>
        <a:xfrm rot="10800000">
          <a:off x="2200656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841</xdr:row>
      <xdr:rowOff>0</xdr:rowOff>
    </xdr:from>
    <xdr:to>
      <xdr:col>60</xdr:col>
      <xdr:colOff>83820</xdr:colOff>
      <xdr:row>841</xdr:row>
      <xdr:rowOff>114300</xdr:rowOff>
    </xdr:to>
    <xdr:sp macro="" textlink="">
      <xdr:nvSpPr>
        <xdr:cNvPr id="6440" name="Arrow: Down 6439">
          <a:extLst>
            <a:ext uri="{FF2B5EF4-FFF2-40B4-BE49-F238E27FC236}">
              <a16:creationId xmlns:a16="http://schemas.microsoft.com/office/drawing/2014/main" id="{39E387E8-21E2-4E46-8CEE-FACA8FA77463}"/>
            </a:ext>
          </a:extLst>
        </xdr:cNvPr>
        <xdr:cNvSpPr/>
      </xdr:nvSpPr>
      <xdr:spPr>
        <a:xfrm rot="10800000">
          <a:off x="1912620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842</xdr:row>
      <xdr:rowOff>0</xdr:rowOff>
    </xdr:from>
    <xdr:to>
      <xdr:col>64</xdr:col>
      <xdr:colOff>83820</xdr:colOff>
      <xdr:row>842</xdr:row>
      <xdr:rowOff>114300</xdr:rowOff>
    </xdr:to>
    <xdr:sp macro="" textlink="">
      <xdr:nvSpPr>
        <xdr:cNvPr id="6449" name="Arrow: Down 6448">
          <a:extLst>
            <a:ext uri="{FF2B5EF4-FFF2-40B4-BE49-F238E27FC236}">
              <a16:creationId xmlns:a16="http://schemas.microsoft.com/office/drawing/2014/main" id="{949CEC19-9C75-4DCE-8182-C49F71291B28}"/>
            </a:ext>
          </a:extLst>
        </xdr:cNvPr>
        <xdr:cNvSpPr/>
      </xdr:nvSpPr>
      <xdr:spPr>
        <a:xfrm rot="10800000">
          <a:off x="19392900" y="153901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842</xdr:row>
      <xdr:rowOff>0</xdr:rowOff>
    </xdr:from>
    <xdr:to>
      <xdr:col>45</xdr:col>
      <xdr:colOff>83820</xdr:colOff>
      <xdr:row>842</xdr:row>
      <xdr:rowOff>114300</xdr:rowOff>
    </xdr:to>
    <xdr:sp macro="" textlink="">
      <xdr:nvSpPr>
        <xdr:cNvPr id="6454" name="Arrow: Down 6453">
          <a:extLst>
            <a:ext uri="{FF2B5EF4-FFF2-40B4-BE49-F238E27FC236}">
              <a16:creationId xmlns:a16="http://schemas.microsoft.com/office/drawing/2014/main" id="{993097DE-A9E5-4471-8C38-08353AFB0D34}"/>
            </a:ext>
          </a:extLst>
        </xdr:cNvPr>
        <xdr:cNvSpPr/>
      </xdr:nvSpPr>
      <xdr:spPr>
        <a:xfrm rot="10800000">
          <a:off x="13403580" y="153901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843</xdr:row>
      <xdr:rowOff>0</xdr:rowOff>
    </xdr:from>
    <xdr:to>
      <xdr:col>64</xdr:col>
      <xdr:colOff>83820</xdr:colOff>
      <xdr:row>843</xdr:row>
      <xdr:rowOff>114300</xdr:rowOff>
    </xdr:to>
    <xdr:sp macro="" textlink="">
      <xdr:nvSpPr>
        <xdr:cNvPr id="6457" name="Arrow: Down 6456">
          <a:extLst>
            <a:ext uri="{FF2B5EF4-FFF2-40B4-BE49-F238E27FC236}">
              <a16:creationId xmlns:a16="http://schemas.microsoft.com/office/drawing/2014/main" id="{B280F1CC-DCC1-4632-A221-262FF53A8CB6}"/>
            </a:ext>
          </a:extLst>
        </xdr:cNvPr>
        <xdr:cNvSpPr/>
      </xdr:nvSpPr>
      <xdr:spPr>
        <a:xfrm rot="10800000">
          <a:off x="19392900" y="154084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843</xdr:row>
      <xdr:rowOff>0</xdr:rowOff>
    </xdr:from>
    <xdr:to>
      <xdr:col>24</xdr:col>
      <xdr:colOff>83820</xdr:colOff>
      <xdr:row>843</xdr:row>
      <xdr:rowOff>114300</xdr:rowOff>
    </xdr:to>
    <xdr:sp macro="" textlink="">
      <xdr:nvSpPr>
        <xdr:cNvPr id="6458" name="Arrow: Down 6457">
          <a:extLst>
            <a:ext uri="{FF2B5EF4-FFF2-40B4-BE49-F238E27FC236}">
              <a16:creationId xmlns:a16="http://schemas.microsoft.com/office/drawing/2014/main" id="{15BEB4FA-3852-4013-A73B-F29F2D98428C}"/>
            </a:ext>
          </a:extLst>
        </xdr:cNvPr>
        <xdr:cNvSpPr/>
      </xdr:nvSpPr>
      <xdr:spPr>
        <a:xfrm>
          <a:off x="833628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843</xdr:row>
      <xdr:rowOff>0</xdr:rowOff>
    </xdr:from>
    <xdr:to>
      <xdr:col>5</xdr:col>
      <xdr:colOff>83820</xdr:colOff>
      <xdr:row>843</xdr:row>
      <xdr:rowOff>114300</xdr:rowOff>
    </xdr:to>
    <xdr:sp macro="" textlink="">
      <xdr:nvSpPr>
        <xdr:cNvPr id="6459" name="Arrow: Down 6458">
          <a:extLst>
            <a:ext uri="{FF2B5EF4-FFF2-40B4-BE49-F238E27FC236}">
              <a16:creationId xmlns:a16="http://schemas.microsoft.com/office/drawing/2014/main" id="{5406663E-579A-4A81-A5E6-AED139606571}"/>
            </a:ext>
          </a:extLst>
        </xdr:cNvPr>
        <xdr:cNvSpPr/>
      </xdr:nvSpPr>
      <xdr:spPr>
        <a:xfrm>
          <a:off x="192786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843</xdr:row>
      <xdr:rowOff>0</xdr:rowOff>
    </xdr:from>
    <xdr:to>
      <xdr:col>11</xdr:col>
      <xdr:colOff>83820</xdr:colOff>
      <xdr:row>843</xdr:row>
      <xdr:rowOff>114300</xdr:rowOff>
    </xdr:to>
    <xdr:sp macro="" textlink="">
      <xdr:nvSpPr>
        <xdr:cNvPr id="6460" name="Arrow: Down 6459">
          <a:extLst>
            <a:ext uri="{FF2B5EF4-FFF2-40B4-BE49-F238E27FC236}">
              <a16:creationId xmlns:a16="http://schemas.microsoft.com/office/drawing/2014/main" id="{C5B3514C-B5F9-4D0F-B5CF-F2C97C52236F}"/>
            </a:ext>
          </a:extLst>
        </xdr:cNvPr>
        <xdr:cNvSpPr/>
      </xdr:nvSpPr>
      <xdr:spPr>
        <a:xfrm>
          <a:off x="369570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843</xdr:row>
      <xdr:rowOff>0</xdr:rowOff>
    </xdr:from>
    <xdr:to>
      <xdr:col>45</xdr:col>
      <xdr:colOff>83820</xdr:colOff>
      <xdr:row>843</xdr:row>
      <xdr:rowOff>114300</xdr:rowOff>
    </xdr:to>
    <xdr:sp macro="" textlink="">
      <xdr:nvSpPr>
        <xdr:cNvPr id="6462" name="Arrow: Down 6461">
          <a:extLst>
            <a:ext uri="{FF2B5EF4-FFF2-40B4-BE49-F238E27FC236}">
              <a16:creationId xmlns:a16="http://schemas.microsoft.com/office/drawing/2014/main" id="{B4BAD3E6-91D2-4DAA-AA3D-BB8E4A2CFE2C}"/>
            </a:ext>
          </a:extLst>
        </xdr:cNvPr>
        <xdr:cNvSpPr/>
      </xdr:nvSpPr>
      <xdr:spPr>
        <a:xfrm rot="10800000">
          <a:off x="13403580" y="154084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843</xdr:row>
      <xdr:rowOff>0</xdr:rowOff>
    </xdr:from>
    <xdr:to>
      <xdr:col>71</xdr:col>
      <xdr:colOff>83820</xdr:colOff>
      <xdr:row>843</xdr:row>
      <xdr:rowOff>114300</xdr:rowOff>
    </xdr:to>
    <xdr:sp macro="" textlink="">
      <xdr:nvSpPr>
        <xdr:cNvPr id="6463" name="Arrow: Down 6462">
          <a:extLst>
            <a:ext uri="{FF2B5EF4-FFF2-40B4-BE49-F238E27FC236}">
              <a16:creationId xmlns:a16="http://schemas.microsoft.com/office/drawing/2014/main" id="{2AA6AFAF-4F9E-40F6-89A0-BC3AE80CEAFC}"/>
            </a:ext>
          </a:extLst>
        </xdr:cNvPr>
        <xdr:cNvSpPr/>
      </xdr:nvSpPr>
      <xdr:spPr>
        <a:xfrm rot="10800000">
          <a:off x="2200656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843</xdr:row>
      <xdr:rowOff>0</xdr:rowOff>
    </xdr:from>
    <xdr:to>
      <xdr:col>60</xdr:col>
      <xdr:colOff>83820</xdr:colOff>
      <xdr:row>843</xdr:row>
      <xdr:rowOff>114300</xdr:rowOff>
    </xdr:to>
    <xdr:sp macro="" textlink="">
      <xdr:nvSpPr>
        <xdr:cNvPr id="6464" name="Arrow: Down 6463">
          <a:extLst>
            <a:ext uri="{FF2B5EF4-FFF2-40B4-BE49-F238E27FC236}">
              <a16:creationId xmlns:a16="http://schemas.microsoft.com/office/drawing/2014/main" id="{7B7FEF8B-F2AE-4F12-8E7B-A85894487850}"/>
            </a:ext>
          </a:extLst>
        </xdr:cNvPr>
        <xdr:cNvSpPr/>
      </xdr:nvSpPr>
      <xdr:spPr>
        <a:xfrm rot="10800000">
          <a:off x="1912620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844</xdr:row>
      <xdr:rowOff>0</xdr:rowOff>
    </xdr:from>
    <xdr:to>
      <xdr:col>64</xdr:col>
      <xdr:colOff>83820</xdr:colOff>
      <xdr:row>844</xdr:row>
      <xdr:rowOff>114300</xdr:rowOff>
    </xdr:to>
    <xdr:sp macro="" textlink="">
      <xdr:nvSpPr>
        <xdr:cNvPr id="6465" name="Arrow: Down 6464">
          <a:extLst>
            <a:ext uri="{FF2B5EF4-FFF2-40B4-BE49-F238E27FC236}">
              <a16:creationId xmlns:a16="http://schemas.microsoft.com/office/drawing/2014/main" id="{AC723BC7-EB58-4A38-986D-3A8A103AD7E0}"/>
            </a:ext>
          </a:extLst>
        </xdr:cNvPr>
        <xdr:cNvSpPr/>
      </xdr:nvSpPr>
      <xdr:spPr>
        <a:xfrm rot="10800000">
          <a:off x="19392900" y="154266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844</xdr:row>
      <xdr:rowOff>0</xdr:rowOff>
    </xdr:from>
    <xdr:to>
      <xdr:col>24</xdr:col>
      <xdr:colOff>83820</xdr:colOff>
      <xdr:row>844</xdr:row>
      <xdr:rowOff>114300</xdr:rowOff>
    </xdr:to>
    <xdr:sp macro="" textlink="">
      <xdr:nvSpPr>
        <xdr:cNvPr id="6466" name="Arrow: Down 6465">
          <a:extLst>
            <a:ext uri="{FF2B5EF4-FFF2-40B4-BE49-F238E27FC236}">
              <a16:creationId xmlns:a16="http://schemas.microsoft.com/office/drawing/2014/main" id="{4100FBAB-24CE-41B7-82E3-F9FBAD76878C}"/>
            </a:ext>
          </a:extLst>
        </xdr:cNvPr>
        <xdr:cNvSpPr/>
      </xdr:nvSpPr>
      <xdr:spPr>
        <a:xfrm>
          <a:off x="8336280" y="1542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844</xdr:row>
      <xdr:rowOff>0</xdr:rowOff>
    </xdr:from>
    <xdr:to>
      <xdr:col>5</xdr:col>
      <xdr:colOff>83820</xdr:colOff>
      <xdr:row>844</xdr:row>
      <xdr:rowOff>114300</xdr:rowOff>
    </xdr:to>
    <xdr:sp macro="" textlink="">
      <xdr:nvSpPr>
        <xdr:cNvPr id="6467" name="Arrow: Down 6466">
          <a:extLst>
            <a:ext uri="{FF2B5EF4-FFF2-40B4-BE49-F238E27FC236}">
              <a16:creationId xmlns:a16="http://schemas.microsoft.com/office/drawing/2014/main" id="{C5B97479-A748-47F4-BEC7-D3BB696E1631}"/>
            </a:ext>
          </a:extLst>
        </xdr:cNvPr>
        <xdr:cNvSpPr/>
      </xdr:nvSpPr>
      <xdr:spPr>
        <a:xfrm>
          <a:off x="1927860" y="1542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844</xdr:row>
      <xdr:rowOff>0</xdr:rowOff>
    </xdr:from>
    <xdr:to>
      <xdr:col>11</xdr:col>
      <xdr:colOff>83820</xdr:colOff>
      <xdr:row>844</xdr:row>
      <xdr:rowOff>114300</xdr:rowOff>
    </xdr:to>
    <xdr:sp macro="" textlink="">
      <xdr:nvSpPr>
        <xdr:cNvPr id="6468" name="Arrow: Down 6467">
          <a:extLst>
            <a:ext uri="{FF2B5EF4-FFF2-40B4-BE49-F238E27FC236}">
              <a16:creationId xmlns:a16="http://schemas.microsoft.com/office/drawing/2014/main" id="{17556459-771F-45DA-94E9-E052E7135151}"/>
            </a:ext>
          </a:extLst>
        </xdr:cNvPr>
        <xdr:cNvSpPr/>
      </xdr:nvSpPr>
      <xdr:spPr>
        <a:xfrm>
          <a:off x="3695700" y="1542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844</xdr:row>
      <xdr:rowOff>0</xdr:rowOff>
    </xdr:from>
    <xdr:to>
      <xdr:col>39</xdr:col>
      <xdr:colOff>83820</xdr:colOff>
      <xdr:row>844</xdr:row>
      <xdr:rowOff>114300</xdr:rowOff>
    </xdr:to>
    <xdr:sp macro="" textlink="">
      <xdr:nvSpPr>
        <xdr:cNvPr id="6469" name="Arrow: Down 6468">
          <a:extLst>
            <a:ext uri="{FF2B5EF4-FFF2-40B4-BE49-F238E27FC236}">
              <a16:creationId xmlns:a16="http://schemas.microsoft.com/office/drawing/2014/main" id="{33C5D5BA-BA33-4E67-9403-FA32582D1C05}"/>
            </a:ext>
          </a:extLst>
        </xdr:cNvPr>
        <xdr:cNvSpPr/>
      </xdr:nvSpPr>
      <xdr:spPr>
        <a:xfrm rot="10800000">
          <a:off x="11544300" y="154266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844</xdr:row>
      <xdr:rowOff>0</xdr:rowOff>
    </xdr:from>
    <xdr:to>
      <xdr:col>45</xdr:col>
      <xdr:colOff>83820</xdr:colOff>
      <xdr:row>844</xdr:row>
      <xdr:rowOff>114300</xdr:rowOff>
    </xdr:to>
    <xdr:sp macro="" textlink="">
      <xdr:nvSpPr>
        <xdr:cNvPr id="6470" name="Arrow: Down 6469">
          <a:extLst>
            <a:ext uri="{FF2B5EF4-FFF2-40B4-BE49-F238E27FC236}">
              <a16:creationId xmlns:a16="http://schemas.microsoft.com/office/drawing/2014/main" id="{FAFF0A2F-97BB-41CB-BCEC-54DD7616BBED}"/>
            </a:ext>
          </a:extLst>
        </xdr:cNvPr>
        <xdr:cNvSpPr/>
      </xdr:nvSpPr>
      <xdr:spPr>
        <a:xfrm rot="10800000">
          <a:off x="13403580" y="154266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844</xdr:row>
      <xdr:rowOff>0</xdr:rowOff>
    </xdr:from>
    <xdr:to>
      <xdr:col>71</xdr:col>
      <xdr:colOff>83820</xdr:colOff>
      <xdr:row>844</xdr:row>
      <xdr:rowOff>114300</xdr:rowOff>
    </xdr:to>
    <xdr:sp macro="" textlink="">
      <xdr:nvSpPr>
        <xdr:cNvPr id="6471" name="Arrow: Down 6470">
          <a:extLst>
            <a:ext uri="{FF2B5EF4-FFF2-40B4-BE49-F238E27FC236}">
              <a16:creationId xmlns:a16="http://schemas.microsoft.com/office/drawing/2014/main" id="{8F604366-B511-4A7E-88B7-4E913334C81D}"/>
            </a:ext>
          </a:extLst>
        </xdr:cNvPr>
        <xdr:cNvSpPr/>
      </xdr:nvSpPr>
      <xdr:spPr>
        <a:xfrm rot="10800000">
          <a:off x="22006560" y="1542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845</xdr:row>
      <xdr:rowOff>0</xdr:rowOff>
    </xdr:from>
    <xdr:to>
      <xdr:col>64</xdr:col>
      <xdr:colOff>83820</xdr:colOff>
      <xdr:row>845</xdr:row>
      <xdr:rowOff>114300</xdr:rowOff>
    </xdr:to>
    <xdr:sp macro="" textlink="">
      <xdr:nvSpPr>
        <xdr:cNvPr id="6481" name="Arrow: Down 6480">
          <a:extLst>
            <a:ext uri="{FF2B5EF4-FFF2-40B4-BE49-F238E27FC236}">
              <a16:creationId xmlns:a16="http://schemas.microsoft.com/office/drawing/2014/main" id="{236FCEE5-18A8-4281-A1D2-6B11EAD8E746}"/>
            </a:ext>
          </a:extLst>
        </xdr:cNvPr>
        <xdr:cNvSpPr/>
      </xdr:nvSpPr>
      <xdr:spPr>
        <a:xfrm rot="10800000">
          <a:off x="19392900" y="154449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845</xdr:row>
      <xdr:rowOff>0</xdr:rowOff>
    </xdr:from>
    <xdr:to>
      <xdr:col>45</xdr:col>
      <xdr:colOff>83820</xdr:colOff>
      <xdr:row>845</xdr:row>
      <xdr:rowOff>114300</xdr:rowOff>
    </xdr:to>
    <xdr:sp macro="" textlink="">
      <xdr:nvSpPr>
        <xdr:cNvPr id="6486" name="Arrow: Down 6485">
          <a:extLst>
            <a:ext uri="{FF2B5EF4-FFF2-40B4-BE49-F238E27FC236}">
              <a16:creationId xmlns:a16="http://schemas.microsoft.com/office/drawing/2014/main" id="{38018074-1A45-4649-89EE-09515DD92A6F}"/>
            </a:ext>
          </a:extLst>
        </xdr:cNvPr>
        <xdr:cNvSpPr/>
      </xdr:nvSpPr>
      <xdr:spPr>
        <a:xfrm rot="10800000">
          <a:off x="13403580" y="15444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845</xdr:row>
      <xdr:rowOff>0</xdr:rowOff>
    </xdr:from>
    <xdr:to>
      <xdr:col>71</xdr:col>
      <xdr:colOff>83820</xdr:colOff>
      <xdr:row>845</xdr:row>
      <xdr:rowOff>114300</xdr:rowOff>
    </xdr:to>
    <xdr:sp macro="" textlink="">
      <xdr:nvSpPr>
        <xdr:cNvPr id="6487" name="Arrow: Down 6486">
          <a:extLst>
            <a:ext uri="{FF2B5EF4-FFF2-40B4-BE49-F238E27FC236}">
              <a16:creationId xmlns:a16="http://schemas.microsoft.com/office/drawing/2014/main" id="{C6CF3D6F-9A78-42EF-A7B0-95FF0B0FE096}"/>
            </a:ext>
          </a:extLst>
        </xdr:cNvPr>
        <xdr:cNvSpPr/>
      </xdr:nvSpPr>
      <xdr:spPr>
        <a:xfrm rot="10800000">
          <a:off x="22006560" y="1544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845</xdr:row>
      <xdr:rowOff>0</xdr:rowOff>
    </xdr:from>
    <xdr:to>
      <xdr:col>60</xdr:col>
      <xdr:colOff>83820</xdr:colOff>
      <xdr:row>845</xdr:row>
      <xdr:rowOff>114300</xdr:rowOff>
    </xdr:to>
    <xdr:sp macro="" textlink="">
      <xdr:nvSpPr>
        <xdr:cNvPr id="6488" name="Arrow: Down 6487">
          <a:extLst>
            <a:ext uri="{FF2B5EF4-FFF2-40B4-BE49-F238E27FC236}">
              <a16:creationId xmlns:a16="http://schemas.microsoft.com/office/drawing/2014/main" id="{29ABD2D1-1E37-48D1-8D1A-C7155A789550}"/>
            </a:ext>
          </a:extLst>
        </xdr:cNvPr>
        <xdr:cNvSpPr/>
      </xdr:nvSpPr>
      <xdr:spPr>
        <a:xfrm rot="10800000">
          <a:off x="19126200" y="1544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846</xdr:row>
      <xdr:rowOff>0</xdr:rowOff>
    </xdr:from>
    <xdr:to>
      <xdr:col>64</xdr:col>
      <xdr:colOff>83820</xdr:colOff>
      <xdr:row>846</xdr:row>
      <xdr:rowOff>114300</xdr:rowOff>
    </xdr:to>
    <xdr:sp macro="" textlink="">
      <xdr:nvSpPr>
        <xdr:cNvPr id="6497" name="Arrow: Down 6496">
          <a:extLst>
            <a:ext uri="{FF2B5EF4-FFF2-40B4-BE49-F238E27FC236}">
              <a16:creationId xmlns:a16="http://schemas.microsoft.com/office/drawing/2014/main" id="{07F74FBE-CCDD-4316-A227-7785219954CF}"/>
            </a:ext>
          </a:extLst>
        </xdr:cNvPr>
        <xdr:cNvSpPr/>
      </xdr:nvSpPr>
      <xdr:spPr>
        <a:xfrm rot="10800000">
          <a:off x="19392900" y="154632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846</xdr:row>
      <xdr:rowOff>0</xdr:rowOff>
    </xdr:from>
    <xdr:to>
      <xdr:col>24</xdr:col>
      <xdr:colOff>83820</xdr:colOff>
      <xdr:row>846</xdr:row>
      <xdr:rowOff>114300</xdr:rowOff>
    </xdr:to>
    <xdr:sp macro="" textlink="">
      <xdr:nvSpPr>
        <xdr:cNvPr id="6498" name="Arrow: Down 6497">
          <a:extLst>
            <a:ext uri="{FF2B5EF4-FFF2-40B4-BE49-F238E27FC236}">
              <a16:creationId xmlns:a16="http://schemas.microsoft.com/office/drawing/2014/main" id="{3ED58D9C-3FC8-429E-8BDF-2A4DF9B84ABD}"/>
            </a:ext>
          </a:extLst>
        </xdr:cNvPr>
        <xdr:cNvSpPr/>
      </xdr:nvSpPr>
      <xdr:spPr>
        <a:xfrm>
          <a:off x="8336280" y="1546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846</xdr:row>
      <xdr:rowOff>0</xdr:rowOff>
    </xdr:from>
    <xdr:to>
      <xdr:col>45</xdr:col>
      <xdr:colOff>83820</xdr:colOff>
      <xdr:row>846</xdr:row>
      <xdr:rowOff>114300</xdr:rowOff>
    </xdr:to>
    <xdr:sp macro="" textlink="">
      <xdr:nvSpPr>
        <xdr:cNvPr id="6502" name="Arrow: Down 6501">
          <a:extLst>
            <a:ext uri="{FF2B5EF4-FFF2-40B4-BE49-F238E27FC236}">
              <a16:creationId xmlns:a16="http://schemas.microsoft.com/office/drawing/2014/main" id="{D283D4A9-32AF-4A5B-9D24-9300E178D485}"/>
            </a:ext>
          </a:extLst>
        </xdr:cNvPr>
        <xdr:cNvSpPr/>
      </xdr:nvSpPr>
      <xdr:spPr>
        <a:xfrm rot="10800000">
          <a:off x="13403580" y="154632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847</xdr:row>
      <xdr:rowOff>0</xdr:rowOff>
    </xdr:from>
    <xdr:to>
      <xdr:col>64</xdr:col>
      <xdr:colOff>83820</xdr:colOff>
      <xdr:row>847</xdr:row>
      <xdr:rowOff>114300</xdr:rowOff>
    </xdr:to>
    <xdr:sp macro="" textlink="">
      <xdr:nvSpPr>
        <xdr:cNvPr id="6505" name="Arrow: Down 6504">
          <a:extLst>
            <a:ext uri="{FF2B5EF4-FFF2-40B4-BE49-F238E27FC236}">
              <a16:creationId xmlns:a16="http://schemas.microsoft.com/office/drawing/2014/main" id="{3B544CBD-6097-4FAB-86CD-0B4282F458DD}"/>
            </a:ext>
          </a:extLst>
        </xdr:cNvPr>
        <xdr:cNvSpPr/>
      </xdr:nvSpPr>
      <xdr:spPr>
        <a:xfrm rot="10800000">
          <a:off x="19392900" y="154815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847</xdr:row>
      <xdr:rowOff>0</xdr:rowOff>
    </xdr:from>
    <xdr:to>
      <xdr:col>39</xdr:col>
      <xdr:colOff>83820</xdr:colOff>
      <xdr:row>847</xdr:row>
      <xdr:rowOff>114300</xdr:rowOff>
    </xdr:to>
    <xdr:sp macro="" textlink="">
      <xdr:nvSpPr>
        <xdr:cNvPr id="6509" name="Arrow: Down 6508">
          <a:extLst>
            <a:ext uri="{FF2B5EF4-FFF2-40B4-BE49-F238E27FC236}">
              <a16:creationId xmlns:a16="http://schemas.microsoft.com/office/drawing/2014/main" id="{8D335393-239D-4CD7-9053-227095A3A2F0}"/>
            </a:ext>
          </a:extLst>
        </xdr:cNvPr>
        <xdr:cNvSpPr/>
      </xdr:nvSpPr>
      <xdr:spPr>
        <a:xfrm rot="10800000">
          <a:off x="11544300" y="154815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847</xdr:row>
      <xdr:rowOff>0</xdr:rowOff>
    </xdr:from>
    <xdr:to>
      <xdr:col>45</xdr:col>
      <xdr:colOff>83820</xdr:colOff>
      <xdr:row>847</xdr:row>
      <xdr:rowOff>114300</xdr:rowOff>
    </xdr:to>
    <xdr:sp macro="" textlink="">
      <xdr:nvSpPr>
        <xdr:cNvPr id="6510" name="Arrow: Down 6509">
          <a:extLst>
            <a:ext uri="{FF2B5EF4-FFF2-40B4-BE49-F238E27FC236}">
              <a16:creationId xmlns:a16="http://schemas.microsoft.com/office/drawing/2014/main" id="{D73521AD-9AA2-471C-A74D-C501B6AAD05C}"/>
            </a:ext>
          </a:extLst>
        </xdr:cNvPr>
        <xdr:cNvSpPr/>
      </xdr:nvSpPr>
      <xdr:spPr>
        <a:xfrm rot="10800000">
          <a:off x="13403580" y="154815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847</xdr:row>
      <xdr:rowOff>0</xdr:rowOff>
    </xdr:from>
    <xdr:to>
      <xdr:col>71</xdr:col>
      <xdr:colOff>83820</xdr:colOff>
      <xdr:row>847</xdr:row>
      <xdr:rowOff>114300</xdr:rowOff>
    </xdr:to>
    <xdr:sp macro="" textlink="">
      <xdr:nvSpPr>
        <xdr:cNvPr id="6511" name="Arrow: Down 6510">
          <a:extLst>
            <a:ext uri="{FF2B5EF4-FFF2-40B4-BE49-F238E27FC236}">
              <a16:creationId xmlns:a16="http://schemas.microsoft.com/office/drawing/2014/main" id="{D117ACCF-C4AC-423C-B366-7A389B7F1ABE}"/>
            </a:ext>
          </a:extLst>
        </xdr:cNvPr>
        <xdr:cNvSpPr/>
      </xdr:nvSpPr>
      <xdr:spPr>
        <a:xfrm rot="10800000">
          <a:off x="2200656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847</xdr:row>
      <xdr:rowOff>0</xdr:rowOff>
    </xdr:from>
    <xdr:to>
      <xdr:col>60</xdr:col>
      <xdr:colOff>83820</xdr:colOff>
      <xdr:row>847</xdr:row>
      <xdr:rowOff>114300</xdr:rowOff>
    </xdr:to>
    <xdr:sp macro="" textlink="">
      <xdr:nvSpPr>
        <xdr:cNvPr id="6512" name="Arrow: Down 6511">
          <a:extLst>
            <a:ext uri="{FF2B5EF4-FFF2-40B4-BE49-F238E27FC236}">
              <a16:creationId xmlns:a16="http://schemas.microsoft.com/office/drawing/2014/main" id="{1B38EC26-5492-4D75-8EA2-DBA5BEBA1BAF}"/>
            </a:ext>
          </a:extLst>
        </xdr:cNvPr>
        <xdr:cNvSpPr/>
      </xdr:nvSpPr>
      <xdr:spPr>
        <a:xfrm rot="10800000">
          <a:off x="1912620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848</xdr:row>
      <xdr:rowOff>0</xdr:rowOff>
    </xdr:from>
    <xdr:to>
      <xdr:col>64</xdr:col>
      <xdr:colOff>83820</xdr:colOff>
      <xdr:row>848</xdr:row>
      <xdr:rowOff>114300</xdr:rowOff>
    </xdr:to>
    <xdr:sp macro="" textlink="">
      <xdr:nvSpPr>
        <xdr:cNvPr id="6513" name="Arrow: Down 6512">
          <a:extLst>
            <a:ext uri="{FF2B5EF4-FFF2-40B4-BE49-F238E27FC236}">
              <a16:creationId xmlns:a16="http://schemas.microsoft.com/office/drawing/2014/main" id="{15E559FA-AD06-4E79-AE9F-3B2433C9584B}"/>
            </a:ext>
          </a:extLst>
        </xdr:cNvPr>
        <xdr:cNvSpPr/>
      </xdr:nvSpPr>
      <xdr:spPr>
        <a:xfrm rot="10800000">
          <a:off x="19392900" y="154998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848</xdr:row>
      <xdr:rowOff>0</xdr:rowOff>
    </xdr:from>
    <xdr:to>
      <xdr:col>24</xdr:col>
      <xdr:colOff>83820</xdr:colOff>
      <xdr:row>848</xdr:row>
      <xdr:rowOff>114300</xdr:rowOff>
    </xdr:to>
    <xdr:sp macro="" textlink="">
      <xdr:nvSpPr>
        <xdr:cNvPr id="6514" name="Arrow: Down 6513">
          <a:extLst>
            <a:ext uri="{FF2B5EF4-FFF2-40B4-BE49-F238E27FC236}">
              <a16:creationId xmlns:a16="http://schemas.microsoft.com/office/drawing/2014/main" id="{18CC2334-2280-4341-ACBB-47C097344EA4}"/>
            </a:ext>
          </a:extLst>
        </xdr:cNvPr>
        <xdr:cNvSpPr/>
      </xdr:nvSpPr>
      <xdr:spPr>
        <a:xfrm>
          <a:off x="8336280" y="1549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83820</xdr:colOff>
      <xdr:row>848</xdr:row>
      <xdr:rowOff>114300</xdr:rowOff>
    </xdr:to>
    <xdr:sp macro="" textlink="">
      <xdr:nvSpPr>
        <xdr:cNvPr id="6515" name="Arrow: Down 6514">
          <a:extLst>
            <a:ext uri="{FF2B5EF4-FFF2-40B4-BE49-F238E27FC236}">
              <a16:creationId xmlns:a16="http://schemas.microsoft.com/office/drawing/2014/main" id="{C6144B28-F7DE-48ED-AAFF-101CF9EE9892}"/>
            </a:ext>
          </a:extLst>
        </xdr:cNvPr>
        <xdr:cNvSpPr/>
      </xdr:nvSpPr>
      <xdr:spPr>
        <a:xfrm>
          <a:off x="1927860" y="1549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848</xdr:row>
      <xdr:rowOff>0</xdr:rowOff>
    </xdr:from>
    <xdr:to>
      <xdr:col>11</xdr:col>
      <xdr:colOff>83820</xdr:colOff>
      <xdr:row>848</xdr:row>
      <xdr:rowOff>114300</xdr:rowOff>
    </xdr:to>
    <xdr:sp macro="" textlink="">
      <xdr:nvSpPr>
        <xdr:cNvPr id="6516" name="Arrow: Down 6515">
          <a:extLst>
            <a:ext uri="{FF2B5EF4-FFF2-40B4-BE49-F238E27FC236}">
              <a16:creationId xmlns:a16="http://schemas.microsoft.com/office/drawing/2014/main" id="{F115747A-EE3D-46D3-BC88-694737900A09}"/>
            </a:ext>
          </a:extLst>
        </xdr:cNvPr>
        <xdr:cNvSpPr/>
      </xdr:nvSpPr>
      <xdr:spPr>
        <a:xfrm>
          <a:off x="3695700" y="1549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848</xdr:row>
      <xdr:rowOff>0</xdr:rowOff>
    </xdr:from>
    <xdr:to>
      <xdr:col>45</xdr:col>
      <xdr:colOff>83820</xdr:colOff>
      <xdr:row>848</xdr:row>
      <xdr:rowOff>114300</xdr:rowOff>
    </xdr:to>
    <xdr:sp macro="" textlink="">
      <xdr:nvSpPr>
        <xdr:cNvPr id="6518" name="Arrow: Down 6517">
          <a:extLst>
            <a:ext uri="{FF2B5EF4-FFF2-40B4-BE49-F238E27FC236}">
              <a16:creationId xmlns:a16="http://schemas.microsoft.com/office/drawing/2014/main" id="{742EDDA5-9519-4C0F-8861-C4DABE56A143}"/>
            </a:ext>
          </a:extLst>
        </xdr:cNvPr>
        <xdr:cNvSpPr/>
      </xdr:nvSpPr>
      <xdr:spPr>
        <a:xfrm rot="10800000">
          <a:off x="13403580" y="154998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848</xdr:row>
      <xdr:rowOff>0</xdr:rowOff>
    </xdr:from>
    <xdr:to>
      <xdr:col>71</xdr:col>
      <xdr:colOff>83820</xdr:colOff>
      <xdr:row>848</xdr:row>
      <xdr:rowOff>114300</xdr:rowOff>
    </xdr:to>
    <xdr:sp macro="" textlink="">
      <xdr:nvSpPr>
        <xdr:cNvPr id="6519" name="Arrow: Down 6518">
          <a:extLst>
            <a:ext uri="{FF2B5EF4-FFF2-40B4-BE49-F238E27FC236}">
              <a16:creationId xmlns:a16="http://schemas.microsoft.com/office/drawing/2014/main" id="{194D5FB0-0121-4CDD-96F0-9BB131350BC7}"/>
            </a:ext>
          </a:extLst>
        </xdr:cNvPr>
        <xdr:cNvSpPr/>
      </xdr:nvSpPr>
      <xdr:spPr>
        <a:xfrm rot="10800000">
          <a:off x="2200656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848</xdr:row>
      <xdr:rowOff>0</xdr:rowOff>
    </xdr:from>
    <xdr:to>
      <xdr:col>60</xdr:col>
      <xdr:colOff>83820</xdr:colOff>
      <xdr:row>848</xdr:row>
      <xdr:rowOff>114300</xdr:rowOff>
    </xdr:to>
    <xdr:sp macro="" textlink="">
      <xdr:nvSpPr>
        <xdr:cNvPr id="6520" name="Arrow: Down 6519">
          <a:extLst>
            <a:ext uri="{FF2B5EF4-FFF2-40B4-BE49-F238E27FC236}">
              <a16:creationId xmlns:a16="http://schemas.microsoft.com/office/drawing/2014/main" id="{CFDA3903-103A-43C3-B211-14ABAF23ADF7}"/>
            </a:ext>
          </a:extLst>
        </xdr:cNvPr>
        <xdr:cNvSpPr/>
      </xdr:nvSpPr>
      <xdr:spPr>
        <a:xfrm rot="10800000">
          <a:off x="1912620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849</xdr:row>
      <xdr:rowOff>0</xdr:rowOff>
    </xdr:from>
    <xdr:to>
      <xdr:col>64</xdr:col>
      <xdr:colOff>83820</xdr:colOff>
      <xdr:row>849</xdr:row>
      <xdr:rowOff>114300</xdr:rowOff>
    </xdr:to>
    <xdr:sp macro="" textlink="">
      <xdr:nvSpPr>
        <xdr:cNvPr id="6529" name="Arrow: Down 6528">
          <a:extLst>
            <a:ext uri="{FF2B5EF4-FFF2-40B4-BE49-F238E27FC236}">
              <a16:creationId xmlns:a16="http://schemas.microsoft.com/office/drawing/2014/main" id="{A3E6A793-EF39-41DF-92CA-1AACF03115A5}"/>
            </a:ext>
          </a:extLst>
        </xdr:cNvPr>
        <xdr:cNvSpPr/>
      </xdr:nvSpPr>
      <xdr:spPr>
        <a:xfrm rot="10800000">
          <a:off x="19392900" y="155181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849</xdr:row>
      <xdr:rowOff>0</xdr:rowOff>
    </xdr:from>
    <xdr:to>
      <xdr:col>24</xdr:col>
      <xdr:colOff>83820</xdr:colOff>
      <xdr:row>849</xdr:row>
      <xdr:rowOff>114300</xdr:rowOff>
    </xdr:to>
    <xdr:sp macro="" textlink="">
      <xdr:nvSpPr>
        <xdr:cNvPr id="6530" name="Arrow: Down 6529">
          <a:extLst>
            <a:ext uri="{FF2B5EF4-FFF2-40B4-BE49-F238E27FC236}">
              <a16:creationId xmlns:a16="http://schemas.microsoft.com/office/drawing/2014/main" id="{1C78AB60-2612-47C0-8270-8376C4B72153}"/>
            </a:ext>
          </a:extLst>
        </xdr:cNvPr>
        <xdr:cNvSpPr/>
      </xdr:nvSpPr>
      <xdr:spPr>
        <a:xfrm>
          <a:off x="8336280" y="1551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849</xdr:row>
      <xdr:rowOff>0</xdr:rowOff>
    </xdr:from>
    <xdr:to>
      <xdr:col>45</xdr:col>
      <xdr:colOff>83820</xdr:colOff>
      <xdr:row>849</xdr:row>
      <xdr:rowOff>114300</xdr:rowOff>
    </xdr:to>
    <xdr:sp macro="" textlink="">
      <xdr:nvSpPr>
        <xdr:cNvPr id="6534" name="Arrow: Down 6533">
          <a:extLst>
            <a:ext uri="{FF2B5EF4-FFF2-40B4-BE49-F238E27FC236}">
              <a16:creationId xmlns:a16="http://schemas.microsoft.com/office/drawing/2014/main" id="{28DF50DD-7A2E-489F-A370-5969DB4ABFB4}"/>
            </a:ext>
          </a:extLst>
        </xdr:cNvPr>
        <xdr:cNvSpPr/>
      </xdr:nvSpPr>
      <xdr:spPr>
        <a:xfrm rot="10800000">
          <a:off x="13403580" y="15518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849</xdr:row>
      <xdr:rowOff>0</xdr:rowOff>
    </xdr:from>
    <xdr:to>
      <xdr:col>71</xdr:col>
      <xdr:colOff>83820</xdr:colOff>
      <xdr:row>849</xdr:row>
      <xdr:rowOff>114300</xdr:rowOff>
    </xdr:to>
    <xdr:sp macro="" textlink="">
      <xdr:nvSpPr>
        <xdr:cNvPr id="6535" name="Arrow: Down 6534">
          <a:extLst>
            <a:ext uri="{FF2B5EF4-FFF2-40B4-BE49-F238E27FC236}">
              <a16:creationId xmlns:a16="http://schemas.microsoft.com/office/drawing/2014/main" id="{5150BD4B-95E8-4172-B72F-09D109904DC7}"/>
            </a:ext>
          </a:extLst>
        </xdr:cNvPr>
        <xdr:cNvSpPr/>
      </xdr:nvSpPr>
      <xdr:spPr>
        <a:xfrm rot="10800000">
          <a:off x="22006560" y="1551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850</xdr:row>
      <xdr:rowOff>0</xdr:rowOff>
    </xdr:from>
    <xdr:to>
      <xdr:col>64</xdr:col>
      <xdr:colOff>83820</xdr:colOff>
      <xdr:row>850</xdr:row>
      <xdr:rowOff>114300</xdr:rowOff>
    </xdr:to>
    <xdr:sp macro="" textlink="">
      <xdr:nvSpPr>
        <xdr:cNvPr id="6537" name="Arrow: Down 6536">
          <a:extLst>
            <a:ext uri="{FF2B5EF4-FFF2-40B4-BE49-F238E27FC236}">
              <a16:creationId xmlns:a16="http://schemas.microsoft.com/office/drawing/2014/main" id="{A38E2706-65BD-4551-99B0-ED8650F33161}"/>
            </a:ext>
          </a:extLst>
        </xdr:cNvPr>
        <xdr:cNvSpPr/>
      </xdr:nvSpPr>
      <xdr:spPr>
        <a:xfrm rot="10800000">
          <a:off x="19392900" y="155364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850</xdr:row>
      <xdr:rowOff>0</xdr:rowOff>
    </xdr:from>
    <xdr:to>
      <xdr:col>24</xdr:col>
      <xdr:colOff>83820</xdr:colOff>
      <xdr:row>850</xdr:row>
      <xdr:rowOff>114300</xdr:rowOff>
    </xdr:to>
    <xdr:sp macro="" textlink="">
      <xdr:nvSpPr>
        <xdr:cNvPr id="6538" name="Arrow: Down 6537">
          <a:extLst>
            <a:ext uri="{FF2B5EF4-FFF2-40B4-BE49-F238E27FC236}">
              <a16:creationId xmlns:a16="http://schemas.microsoft.com/office/drawing/2014/main" id="{EA5A8B0B-5625-463A-8CF3-E7F0C693A6DA}"/>
            </a:ext>
          </a:extLst>
        </xdr:cNvPr>
        <xdr:cNvSpPr/>
      </xdr:nvSpPr>
      <xdr:spPr>
        <a:xfrm>
          <a:off x="833628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83820</xdr:colOff>
      <xdr:row>850</xdr:row>
      <xdr:rowOff>114300</xdr:rowOff>
    </xdr:to>
    <xdr:sp macro="" textlink="">
      <xdr:nvSpPr>
        <xdr:cNvPr id="6539" name="Arrow: Down 6538">
          <a:extLst>
            <a:ext uri="{FF2B5EF4-FFF2-40B4-BE49-F238E27FC236}">
              <a16:creationId xmlns:a16="http://schemas.microsoft.com/office/drawing/2014/main" id="{C7C56A8D-CB5C-433C-BF08-97CB8DBDFEAF}"/>
            </a:ext>
          </a:extLst>
        </xdr:cNvPr>
        <xdr:cNvSpPr/>
      </xdr:nvSpPr>
      <xdr:spPr>
        <a:xfrm>
          <a:off x="192786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850</xdr:row>
      <xdr:rowOff>0</xdr:rowOff>
    </xdr:from>
    <xdr:to>
      <xdr:col>11</xdr:col>
      <xdr:colOff>83820</xdr:colOff>
      <xdr:row>850</xdr:row>
      <xdr:rowOff>114300</xdr:rowOff>
    </xdr:to>
    <xdr:sp macro="" textlink="">
      <xdr:nvSpPr>
        <xdr:cNvPr id="6540" name="Arrow: Down 6539">
          <a:extLst>
            <a:ext uri="{FF2B5EF4-FFF2-40B4-BE49-F238E27FC236}">
              <a16:creationId xmlns:a16="http://schemas.microsoft.com/office/drawing/2014/main" id="{62411A9B-B48E-4483-A9DA-FD9DD69AC369}"/>
            </a:ext>
          </a:extLst>
        </xdr:cNvPr>
        <xdr:cNvSpPr/>
      </xdr:nvSpPr>
      <xdr:spPr>
        <a:xfrm>
          <a:off x="369570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850</xdr:row>
      <xdr:rowOff>0</xdr:rowOff>
    </xdr:from>
    <xdr:to>
      <xdr:col>45</xdr:col>
      <xdr:colOff>83820</xdr:colOff>
      <xdr:row>850</xdr:row>
      <xdr:rowOff>114300</xdr:rowOff>
    </xdr:to>
    <xdr:sp macro="" textlink="">
      <xdr:nvSpPr>
        <xdr:cNvPr id="6542" name="Arrow: Down 6541">
          <a:extLst>
            <a:ext uri="{FF2B5EF4-FFF2-40B4-BE49-F238E27FC236}">
              <a16:creationId xmlns:a16="http://schemas.microsoft.com/office/drawing/2014/main" id="{E4DEC4CC-50A1-41D3-8260-03E367EC56C3}"/>
            </a:ext>
          </a:extLst>
        </xdr:cNvPr>
        <xdr:cNvSpPr/>
      </xdr:nvSpPr>
      <xdr:spPr>
        <a:xfrm rot="10800000">
          <a:off x="13403580" y="155364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850</xdr:row>
      <xdr:rowOff>0</xdr:rowOff>
    </xdr:from>
    <xdr:to>
      <xdr:col>71</xdr:col>
      <xdr:colOff>83820</xdr:colOff>
      <xdr:row>850</xdr:row>
      <xdr:rowOff>114300</xdr:rowOff>
    </xdr:to>
    <xdr:sp macro="" textlink="">
      <xdr:nvSpPr>
        <xdr:cNvPr id="6543" name="Arrow: Down 6542">
          <a:extLst>
            <a:ext uri="{FF2B5EF4-FFF2-40B4-BE49-F238E27FC236}">
              <a16:creationId xmlns:a16="http://schemas.microsoft.com/office/drawing/2014/main" id="{671AC7D8-7E0F-406A-BF1B-ED111706436C}"/>
            </a:ext>
          </a:extLst>
        </xdr:cNvPr>
        <xdr:cNvSpPr/>
      </xdr:nvSpPr>
      <xdr:spPr>
        <a:xfrm rot="10800000">
          <a:off x="2200656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850</xdr:row>
      <xdr:rowOff>0</xdr:rowOff>
    </xdr:from>
    <xdr:to>
      <xdr:col>60</xdr:col>
      <xdr:colOff>83820</xdr:colOff>
      <xdr:row>850</xdr:row>
      <xdr:rowOff>114300</xdr:rowOff>
    </xdr:to>
    <xdr:sp macro="" textlink="">
      <xdr:nvSpPr>
        <xdr:cNvPr id="6544" name="Arrow: Down 6543">
          <a:extLst>
            <a:ext uri="{FF2B5EF4-FFF2-40B4-BE49-F238E27FC236}">
              <a16:creationId xmlns:a16="http://schemas.microsoft.com/office/drawing/2014/main" id="{2F25F8D5-7B50-423D-B04C-50896B8A3275}"/>
            </a:ext>
          </a:extLst>
        </xdr:cNvPr>
        <xdr:cNvSpPr/>
      </xdr:nvSpPr>
      <xdr:spPr>
        <a:xfrm rot="10800000">
          <a:off x="1912620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851</xdr:row>
      <xdr:rowOff>0</xdr:rowOff>
    </xdr:from>
    <xdr:to>
      <xdr:col>64</xdr:col>
      <xdr:colOff>83820</xdr:colOff>
      <xdr:row>851</xdr:row>
      <xdr:rowOff>114300</xdr:rowOff>
    </xdr:to>
    <xdr:sp macro="" textlink="">
      <xdr:nvSpPr>
        <xdr:cNvPr id="6545" name="Arrow: Down 6544">
          <a:extLst>
            <a:ext uri="{FF2B5EF4-FFF2-40B4-BE49-F238E27FC236}">
              <a16:creationId xmlns:a16="http://schemas.microsoft.com/office/drawing/2014/main" id="{732FB835-2A46-4DD2-A48C-32A21529E4C4}"/>
            </a:ext>
          </a:extLst>
        </xdr:cNvPr>
        <xdr:cNvSpPr/>
      </xdr:nvSpPr>
      <xdr:spPr>
        <a:xfrm rot="10800000">
          <a:off x="19392900" y="155547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851</xdr:row>
      <xdr:rowOff>0</xdr:rowOff>
    </xdr:from>
    <xdr:to>
      <xdr:col>24</xdr:col>
      <xdr:colOff>83820</xdr:colOff>
      <xdr:row>851</xdr:row>
      <xdr:rowOff>114300</xdr:rowOff>
    </xdr:to>
    <xdr:sp macro="" textlink="">
      <xdr:nvSpPr>
        <xdr:cNvPr id="6546" name="Arrow: Down 6545">
          <a:extLst>
            <a:ext uri="{FF2B5EF4-FFF2-40B4-BE49-F238E27FC236}">
              <a16:creationId xmlns:a16="http://schemas.microsoft.com/office/drawing/2014/main" id="{7A81EBE6-E7F2-4009-989A-72331E6251B2}"/>
            </a:ext>
          </a:extLst>
        </xdr:cNvPr>
        <xdr:cNvSpPr/>
      </xdr:nvSpPr>
      <xdr:spPr>
        <a:xfrm>
          <a:off x="8336280" y="1555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851</xdr:row>
      <xdr:rowOff>0</xdr:rowOff>
    </xdr:from>
    <xdr:to>
      <xdr:col>5</xdr:col>
      <xdr:colOff>83820</xdr:colOff>
      <xdr:row>851</xdr:row>
      <xdr:rowOff>114300</xdr:rowOff>
    </xdr:to>
    <xdr:sp macro="" textlink="">
      <xdr:nvSpPr>
        <xdr:cNvPr id="6547" name="Arrow: Down 6546">
          <a:extLst>
            <a:ext uri="{FF2B5EF4-FFF2-40B4-BE49-F238E27FC236}">
              <a16:creationId xmlns:a16="http://schemas.microsoft.com/office/drawing/2014/main" id="{7AFD50FA-02CA-490D-AF79-F5624D0B9D7D}"/>
            </a:ext>
          </a:extLst>
        </xdr:cNvPr>
        <xdr:cNvSpPr/>
      </xdr:nvSpPr>
      <xdr:spPr>
        <a:xfrm>
          <a:off x="1927860" y="1555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851</xdr:row>
      <xdr:rowOff>0</xdr:rowOff>
    </xdr:from>
    <xdr:to>
      <xdr:col>11</xdr:col>
      <xdr:colOff>83820</xdr:colOff>
      <xdr:row>851</xdr:row>
      <xdr:rowOff>114300</xdr:rowOff>
    </xdr:to>
    <xdr:sp macro="" textlink="">
      <xdr:nvSpPr>
        <xdr:cNvPr id="6548" name="Arrow: Down 6547">
          <a:extLst>
            <a:ext uri="{FF2B5EF4-FFF2-40B4-BE49-F238E27FC236}">
              <a16:creationId xmlns:a16="http://schemas.microsoft.com/office/drawing/2014/main" id="{0297011A-2375-48C7-9F7B-D7F3B2D87DD5}"/>
            </a:ext>
          </a:extLst>
        </xdr:cNvPr>
        <xdr:cNvSpPr/>
      </xdr:nvSpPr>
      <xdr:spPr>
        <a:xfrm>
          <a:off x="3695700" y="1555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851</xdr:row>
      <xdr:rowOff>0</xdr:rowOff>
    </xdr:from>
    <xdr:to>
      <xdr:col>45</xdr:col>
      <xdr:colOff>83820</xdr:colOff>
      <xdr:row>851</xdr:row>
      <xdr:rowOff>114300</xdr:rowOff>
    </xdr:to>
    <xdr:sp macro="" textlink="">
      <xdr:nvSpPr>
        <xdr:cNvPr id="6550" name="Arrow: Down 6549">
          <a:extLst>
            <a:ext uri="{FF2B5EF4-FFF2-40B4-BE49-F238E27FC236}">
              <a16:creationId xmlns:a16="http://schemas.microsoft.com/office/drawing/2014/main" id="{C86C2996-98BF-4D07-9C56-3D0110778539}"/>
            </a:ext>
          </a:extLst>
        </xdr:cNvPr>
        <xdr:cNvSpPr/>
      </xdr:nvSpPr>
      <xdr:spPr>
        <a:xfrm rot="10800000">
          <a:off x="13403580" y="155547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851</xdr:row>
      <xdr:rowOff>0</xdr:rowOff>
    </xdr:from>
    <xdr:to>
      <xdr:col>71</xdr:col>
      <xdr:colOff>83820</xdr:colOff>
      <xdr:row>851</xdr:row>
      <xdr:rowOff>114300</xdr:rowOff>
    </xdr:to>
    <xdr:sp macro="" textlink="">
      <xdr:nvSpPr>
        <xdr:cNvPr id="6551" name="Arrow: Down 6550">
          <a:extLst>
            <a:ext uri="{FF2B5EF4-FFF2-40B4-BE49-F238E27FC236}">
              <a16:creationId xmlns:a16="http://schemas.microsoft.com/office/drawing/2014/main" id="{27A81CD7-CAC2-4A8A-8328-41894BD5D8C2}"/>
            </a:ext>
          </a:extLst>
        </xdr:cNvPr>
        <xdr:cNvSpPr/>
      </xdr:nvSpPr>
      <xdr:spPr>
        <a:xfrm rot="10800000">
          <a:off x="22006560" y="1555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838</xdr:row>
      <xdr:rowOff>0</xdr:rowOff>
    </xdr:from>
    <xdr:to>
      <xdr:col>5</xdr:col>
      <xdr:colOff>83820</xdr:colOff>
      <xdr:row>838</xdr:row>
      <xdr:rowOff>114300</xdr:rowOff>
    </xdr:to>
    <xdr:sp macro="" textlink="">
      <xdr:nvSpPr>
        <xdr:cNvPr id="6553" name="Arrow: Down 6552">
          <a:extLst>
            <a:ext uri="{FF2B5EF4-FFF2-40B4-BE49-F238E27FC236}">
              <a16:creationId xmlns:a16="http://schemas.microsoft.com/office/drawing/2014/main" id="{B2102570-4DF4-467E-804E-2A6DDFB9CB8C}"/>
            </a:ext>
          </a:extLst>
        </xdr:cNvPr>
        <xdr:cNvSpPr/>
      </xdr:nvSpPr>
      <xdr:spPr>
        <a:xfrm rot="10800000">
          <a:off x="192786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838</xdr:row>
      <xdr:rowOff>0</xdr:rowOff>
    </xdr:from>
    <xdr:to>
      <xdr:col>11</xdr:col>
      <xdr:colOff>83820</xdr:colOff>
      <xdr:row>838</xdr:row>
      <xdr:rowOff>114300</xdr:rowOff>
    </xdr:to>
    <xdr:sp macro="" textlink="">
      <xdr:nvSpPr>
        <xdr:cNvPr id="6555" name="Arrow: Down 6554">
          <a:extLst>
            <a:ext uri="{FF2B5EF4-FFF2-40B4-BE49-F238E27FC236}">
              <a16:creationId xmlns:a16="http://schemas.microsoft.com/office/drawing/2014/main" id="{03A11E60-E09D-4A59-8FED-C41B17BE46CC}"/>
            </a:ext>
          </a:extLst>
        </xdr:cNvPr>
        <xdr:cNvSpPr/>
      </xdr:nvSpPr>
      <xdr:spPr>
        <a:xfrm rot="10800000">
          <a:off x="369570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839</xdr:row>
      <xdr:rowOff>0</xdr:rowOff>
    </xdr:from>
    <xdr:to>
      <xdr:col>5</xdr:col>
      <xdr:colOff>83820</xdr:colOff>
      <xdr:row>839</xdr:row>
      <xdr:rowOff>114300</xdr:rowOff>
    </xdr:to>
    <xdr:sp macro="" textlink="">
      <xdr:nvSpPr>
        <xdr:cNvPr id="6556" name="Arrow: Down 6555">
          <a:extLst>
            <a:ext uri="{FF2B5EF4-FFF2-40B4-BE49-F238E27FC236}">
              <a16:creationId xmlns:a16="http://schemas.microsoft.com/office/drawing/2014/main" id="{FF6C2FCD-3339-4E5B-956F-66167C58BF63}"/>
            </a:ext>
          </a:extLst>
        </xdr:cNvPr>
        <xdr:cNvSpPr/>
      </xdr:nvSpPr>
      <xdr:spPr>
        <a:xfrm rot="10800000">
          <a:off x="192786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839</xdr:row>
      <xdr:rowOff>0</xdr:rowOff>
    </xdr:from>
    <xdr:to>
      <xdr:col>11</xdr:col>
      <xdr:colOff>83820</xdr:colOff>
      <xdr:row>839</xdr:row>
      <xdr:rowOff>114300</xdr:rowOff>
    </xdr:to>
    <xdr:sp macro="" textlink="">
      <xdr:nvSpPr>
        <xdr:cNvPr id="6557" name="Arrow: Down 6556">
          <a:extLst>
            <a:ext uri="{FF2B5EF4-FFF2-40B4-BE49-F238E27FC236}">
              <a16:creationId xmlns:a16="http://schemas.microsoft.com/office/drawing/2014/main" id="{E4F27079-5DF8-4B99-841C-4EAFDDDD1BAD}"/>
            </a:ext>
          </a:extLst>
        </xdr:cNvPr>
        <xdr:cNvSpPr/>
      </xdr:nvSpPr>
      <xdr:spPr>
        <a:xfrm rot="10800000">
          <a:off x="369570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842</xdr:row>
      <xdr:rowOff>0</xdr:rowOff>
    </xdr:from>
    <xdr:to>
      <xdr:col>5</xdr:col>
      <xdr:colOff>83820</xdr:colOff>
      <xdr:row>842</xdr:row>
      <xdr:rowOff>114300</xdr:rowOff>
    </xdr:to>
    <xdr:sp macro="" textlink="">
      <xdr:nvSpPr>
        <xdr:cNvPr id="6558" name="Arrow: Down 6557">
          <a:extLst>
            <a:ext uri="{FF2B5EF4-FFF2-40B4-BE49-F238E27FC236}">
              <a16:creationId xmlns:a16="http://schemas.microsoft.com/office/drawing/2014/main" id="{3CDB161B-C677-4195-A818-AA0DCA209781}"/>
            </a:ext>
          </a:extLst>
        </xdr:cNvPr>
        <xdr:cNvSpPr/>
      </xdr:nvSpPr>
      <xdr:spPr>
        <a:xfrm rot="10800000">
          <a:off x="192786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842</xdr:row>
      <xdr:rowOff>0</xdr:rowOff>
    </xdr:from>
    <xdr:to>
      <xdr:col>11</xdr:col>
      <xdr:colOff>83820</xdr:colOff>
      <xdr:row>842</xdr:row>
      <xdr:rowOff>114300</xdr:rowOff>
    </xdr:to>
    <xdr:sp macro="" textlink="">
      <xdr:nvSpPr>
        <xdr:cNvPr id="6559" name="Arrow: Down 6558">
          <a:extLst>
            <a:ext uri="{FF2B5EF4-FFF2-40B4-BE49-F238E27FC236}">
              <a16:creationId xmlns:a16="http://schemas.microsoft.com/office/drawing/2014/main" id="{2ED06630-E975-465B-9696-0814A5361066}"/>
            </a:ext>
          </a:extLst>
        </xdr:cNvPr>
        <xdr:cNvSpPr/>
      </xdr:nvSpPr>
      <xdr:spPr>
        <a:xfrm rot="10800000">
          <a:off x="369570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845</xdr:row>
      <xdr:rowOff>0</xdr:rowOff>
    </xdr:from>
    <xdr:to>
      <xdr:col>5</xdr:col>
      <xdr:colOff>83820</xdr:colOff>
      <xdr:row>845</xdr:row>
      <xdr:rowOff>114300</xdr:rowOff>
    </xdr:to>
    <xdr:sp macro="" textlink="">
      <xdr:nvSpPr>
        <xdr:cNvPr id="6560" name="Arrow: Down 6559">
          <a:extLst>
            <a:ext uri="{FF2B5EF4-FFF2-40B4-BE49-F238E27FC236}">
              <a16:creationId xmlns:a16="http://schemas.microsoft.com/office/drawing/2014/main" id="{DE5214B9-DBC7-4546-88E6-B71E08343FD7}"/>
            </a:ext>
          </a:extLst>
        </xdr:cNvPr>
        <xdr:cNvSpPr/>
      </xdr:nvSpPr>
      <xdr:spPr>
        <a:xfrm rot="10800000">
          <a:off x="192786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845</xdr:row>
      <xdr:rowOff>0</xdr:rowOff>
    </xdr:from>
    <xdr:to>
      <xdr:col>11</xdr:col>
      <xdr:colOff>83820</xdr:colOff>
      <xdr:row>845</xdr:row>
      <xdr:rowOff>114300</xdr:rowOff>
    </xdr:to>
    <xdr:sp macro="" textlink="">
      <xdr:nvSpPr>
        <xdr:cNvPr id="6561" name="Arrow: Down 6560">
          <a:extLst>
            <a:ext uri="{FF2B5EF4-FFF2-40B4-BE49-F238E27FC236}">
              <a16:creationId xmlns:a16="http://schemas.microsoft.com/office/drawing/2014/main" id="{B8DFB2E9-6E35-4767-929C-22413D995F83}"/>
            </a:ext>
          </a:extLst>
        </xdr:cNvPr>
        <xdr:cNvSpPr/>
      </xdr:nvSpPr>
      <xdr:spPr>
        <a:xfrm rot="10800000">
          <a:off x="369570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83820</xdr:colOff>
      <xdr:row>846</xdr:row>
      <xdr:rowOff>114300</xdr:rowOff>
    </xdr:to>
    <xdr:sp macro="" textlink="">
      <xdr:nvSpPr>
        <xdr:cNvPr id="6562" name="Arrow: Down 6561">
          <a:extLst>
            <a:ext uri="{FF2B5EF4-FFF2-40B4-BE49-F238E27FC236}">
              <a16:creationId xmlns:a16="http://schemas.microsoft.com/office/drawing/2014/main" id="{91616E55-3262-49A3-B3CB-6C4FCABFABE3}"/>
            </a:ext>
          </a:extLst>
        </xdr:cNvPr>
        <xdr:cNvSpPr/>
      </xdr:nvSpPr>
      <xdr:spPr>
        <a:xfrm rot="10800000">
          <a:off x="192786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846</xdr:row>
      <xdr:rowOff>0</xdr:rowOff>
    </xdr:from>
    <xdr:to>
      <xdr:col>11</xdr:col>
      <xdr:colOff>83820</xdr:colOff>
      <xdr:row>846</xdr:row>
      <xdr:rowOff>114300</xdr:rowOff>
    </xdr:to>
    <xdr:sp macro="" textlink="">
      <xdr:nvSpPr>
        <xdr:cNvPr id="6563" name="Arrow: Down 6562">
          <a:extLst>
            <a:ext uri="{FF2B5EF4-FFF2-40B4-BE49-F238E27FC236}">
              <a16:creationId xmlns:a16="http://schemas.microsoft.com/office/drawing/2014/main" id="{E1E9C618-9D1E-4F9B-A8A0-A86071BAD172}"/>
            </a:ext>
          </a:extLst>
        </xdr:cNvPr>
        <xdr:cNvSpPr/>
      </xdr:nvSpPr>
      <xdr:spPr>
        <a:xfrm rot="10800000">
          <a:off x="369570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840</xdr:row>
      <xdr:rowOff>0</xdr:rowOff>
    </xdr:from>
    <xdr:to>
      <xdr:col>5</xdr:col>
      <xdr:colOff>83820</xdr:colOff>
      <xdr:row>840</xdr:row>
      <xdr:rowOff>114300</xdr:rowOff>
    </xdr:to>
    <xdr:sp macro="" textlink="">
      <xdr:nvSpPr>
        <xdr:cNvPr id="6564" name="Arrow: Down 6563">
          <a:extLst>
            <a:ext uri="{FF2B5EF4-FFF2-40B4-BE49-F238E27FC236}">
              <a16:creationId xmlns:a16="http://schemas.microsoft.com/office/drawing/2014/main" id="{B2B41892-4810-4D15-98C5-9DCC1C7CF465}"/>
            </a:ext>
          </a:extLst>
        </xdr:cNvPr>
        <xdr:cNvSpPr/>
      </xdr:nvSpPr>
      <xdr:spPr>
        <a:xfrm rot="10800000">
          <a:off x="192786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840</xdr:row>
      <xdr:rowOff>0</xdr:rowOff>
    </xdr:from>
    <xdr:to>
      <xdr:col>11</xdr:col>
      <xdr:colOff>83820</xdr:colOff>
      <xdr:row>840</xdr:row>
      <xdr:rowOff>114300</xdr:rowOff>
    </xdr:to>
    <xdr:sp macro="" textlink="">
      <xdr:nvSpPr>
        <xdr:cNvPr id="6565" name="Arrow: Down 6564">
          <a:extLst>
            <a:ext uri="{FF2B5EF4-FFF2-40B4-BE49-F238E27FC236}">
              <a16:creationId xmlns:a16="http://schemas.microsoft.com/office/drawing/2014/main" id="{52875C89-55A9-4C8C-8EBB-6477F0912420}"/>
            </a:ext>
          </a:extLst>
        </xdr:cNvPr>
        <xdr:cNvSpPr/>
      </xdr:nvSpPr>
      <xdr:spPr>
        <a:xfrm rot="10800000">
          <a:off x="369570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847</xdr:row>
      <xdr:rowOff>0</xdr:rowOff>
    </xdr:from>
    <xdr:to>
      <xdr:col>5</xdr:col>
      <xdr:colOff>83820</xdr:colOff>
      <xdr:row>847</xdr:row>
      <xdr:rowOff>114300</xdr:rowOff>
    </xdr:to>
    <xdr:sp macro="" textlink="">
      <xdr:nvSpPr>
        <xdr:cNvPr id="6567" name="Arrow: Down 6566">
          <a:extLst>
            <a:ext uri="{FF2B5EF4-FFF2-40B4-BE49-F238E27FC236}">
              <a16:creationId xmlns:a16="http://schemas.microsoft.com/office/drawing/2014/main" id="{4B6C9A4A-FFB7-45DA-8161-78170A6952D2}"/>
            </a:ext>
          </a:extLst>
        </xdr:cNvPr>
        <xdr:cNvSpPr/>
      </xdr:nvSpPr>
      <xdr:spPr>
        <a:xfrm rot="10800000">
          <a:off x="192786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847</xdr:row>
      <xdr:rowOff>0</xdr:rowOff>
    </xdr:from>
    <xdr:to>
      <xdr:col>11</xdr:col>
      <xdr:colOff>83820</xdr:colOff>
      <xdr:row>847</xdr:row>
      <xdr:rowOff>114300</xdr:rowOff>
    </xdr:to>
    <xdr:sp macro="" textlink="">
      <xdr:nvSpPr>
        <xdr:cNvPr id="6568" name="Arrow: Down 6567">
          <a:extLst>
            <a:ext uri="{FF2B5EF4-FFF2-40B4-BE49-F238E27FC236}">
              <a16:creationId xmlns:a16="http://schemas.microsoft.com/office/drawing/2014/main" id="{C3D35516-0FCC-4F17-BEA4-830AD02385F3}"/>
            </a:ext>
          </a:extLst>
        </xdr:cNvPr>
        <xdr:cNvSpPr/>
      </xdr:nvSpPr>
      <xdr:spPr>
        <a:xfrm rot="10800000">
          <a:off x="369570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849</xdr:row>
      <xdr:rowOff>0</xdr:rowOff>
    </xdr:from>
    <xdr:to>
      <xdr:col>5</xdr:col>
      <xdr:colOff>83820</xdr:colOff>
      <xdr:row>849</xdr:row>
      <xdr:rowOff>114300</xdr:rowOff>
    </xdr:to>
    <xdr:sp macro="" textlink="">
      <xdr:nvSpPr>
        <xdr:cNvPr id="6569" name="Arrow: Down 6568">
          <a:extLst>
            <a:ext uri="{FF2B5EF4-FFF2-40B4-BE49-F238E27FC236}">
              <a16:creationId xmlns:a16="http://schemas.microsoft.com/office/drawing/2014/main" id="{1C717127-A277-4C5F-9D11-492D042D1063}"/>
            </a:ext>
          </a:extLst>
        </xdr:cNvPr>
        <xdr:cNvSpPr/>
      </xdr:nvSpPr>
      <xdr:spPr>
        <a:xfrm rot="10800000">
          <a:off x="192786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849</xdr:row>
      <xdr:rowOff>0</xdr:rowOff>
    </xdr:from>
    <xdr:to>
      <xdr:col>11</xdr:col>
      <xdr:colOff>83820</xdr:colOff>
      <xdr:row>849</xdr:row>
      <xdr:rowOff>114300</xdr:rowOff>
    </xdr:to>
    <xdr:sp macro="" textlink="">
      <xdr:nvSpPr>
        <xdr:cNvPr id="6571" name="Arrow: Down 6570">
          <a:extLst>
            <a:ext uri="{FF2B5EF4-FFF2-40B4-BE49-F238E27FC236}">
              <a16:creationId xmlns:a16="http://schemas.microsoft.com/office/drawing/2014/main" id="{E02C9114-B37A-4EB0-8D7D-EAAD88C7020B}"/>
            </a:ext>
          </a:extLst>
        </xdr:cNvPr>
        <xdr:cNvSpPr/>
      </xdr:nvSpPr>
      <xdr:spPr>
        <a:xfrm rot="10800000">
          <a:off x="369570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838</xdr:row>
      <xdr:rowOff>0</xdr:rowOff>
    </xdr:from>
    <xdr:to>
      <xdr:col>24</xdr:col>
      <xdr:colOff>83820</xdr:colOff>
      <xdr:row>838</xdr:row>
      <xdr:rowOff>114300</xdr:rowOff>
    </xdr:to>
    <xdr:sp macro="" textlink="">
      <xdr:nvSpPr>
        <xdr:cNvPr id="6572" name="Arrow: Down 6571">
          <a:extLst>
            <a:ext uri="{FF2B5EF4-FFF2-40B4-BE49-F238E27FC236}">
              <a16:creationId xmlns:a16="http://schemas.microsoft.com/office/drawing/2014/main" id="{C03B0BCF-080F-4A5F-AF57-D26B7F61C02E}"/>
            </a:ext>
          </a:extLst>
        </xdr:cNvPr>
        <xdr:cNvSpPr/>
      </xdr:nvSpPr>
      <xdr:spPr>
        <a:xfrm rot="10800000">
          <a:off x="833628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845</xdr:row>
      <xdr:rowOff>0</xdr:rowOff>
    </xdr:from>
    <xdr:to>
      <xdr:col>24</xdr:col>
      <xdr:colOff>83820</xdr:colOff>
      <xdr:row>845</xdr:row>
      <xdr:rowOff>114300</xdr:rowOff>
    </xdr:to>
    <xdr:sp macro="" textlink="">
      <xdr:nvSpPr>
        <xdr:cNvPr id="6573" name="Arrow: Down 6572">
          <a:extLst>
            <a:ext uri="{FF2B5EF4-FFF2-40B4-BE49-F238E27FC236}">
              <a16:creationId xmlns:a16="http://schemas.microsoft.com/office/drawing/2014/main" id="{AF43B632-032F-4C6E-8256-C24F7030DCB3}"/>
            </a:ext>
          </a:extLst>
        </xdr:cNvPr>
        <xdr:cNvSpPr/>
      </xdr:nvSpPr>
      <xdr:spPr>
        <a:xfrm rot="10800000">
          <a:off x="833628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839</xdr:row>
      <xdr:rowOff>0</xdr:rowOff>
    </xdr:from>
    <xdr:to>
      <xdr:col>24</xdr:col>
      <xdr:colOff>83820</xdr:colOff>
      <xdr:row>839</xdr:row>
      <xdr:rowOff>114300</xdr:rowOff>
    </xdr:to>
    <xdr:sp macro="" textlink="">
      <xdr:nvSpPr>
        <xdr:cNvPr id="6574" name="Arrow: Down 6573">
          <a:extLst>
            <a:ext uri="{FF2B5EF4-FFF2-40B4-BE49-F238E27FC236}">
              <a16:creationId xmlns:a16="http://schemas.microsoft.com/office/drawing/2014/main" id="{8C2C502B-AF44-4D06-A554-81A94631A94E}"/>
            </a:ext>
          </a:extLst>
        </xdr:cNvPr>
        <xdr:cNvSpPr/>
      </xdr:nvSpPr>
      <xdr:spPr>
        <a:xfrm rot="10800000">
          <a:off x="833628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847</xdr:row>
      <xdr:rowOff>0</xdr:rowOff>
    </xdr:from>
    <xdr:to>
      <xdr:col>24</xdr:col>
      <xdr:colOff>83820</xdr:colOff>
      <xdr:row>847</xdr:row>
      <xdr:rowOff>114300</xdr:rowOff>
    </xdr:to>
    <xdr:sp macro="" textlink="">
      <xdr:nvSpPr>
        <xdr:cNvPr id="6576" name="Arrow: Down 6575">
          <a:extLst>
            <a:ext uri="{FF2B5EF4-FFF2-40B4-BE49-F238E27FC236}">
              <a16:creationId xmlns:a16="http://schemas.microsoft.com/office/drawing/2014/main" id="{B608E704-A40F-43B8-946E-A90D9FFC3E26}"/>
            </a:ext>
          </a:extLst>
        </xdr:cNvPr>
        <xdr:cNvSpPr/>
      </xdr:nvSpPr>
      <xdr:spPr>
        <a:xfrm rot="10800000">
          <a:off x="833628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842</xdr:row>
      <xdr:rowOff>0</xdr:rowOff>
    </xdr:from>
    <xdr:to>
      <xdr:col>24</xdr:col>
      <xdr:colOff>83820</xdr:colOff>
      <xdr:row>842</xdr:row>
      <xdr:rowOff>114300</xdr:rowOff>
    </xdr:to>
    <xdr:sp macro="" textlink="">
      <xdr:nvSpPr>
        <xdr:cNvPr id="6578" name="Arrow: Down 6577">
          <a:extLst>
            <a:ext uri="{FF2B5EF4-FFF2-40B4-BE49-F238E27FC236}">
              <a16:creationId xmlns:a16="http://schemas.microsoft.com/office/drawing/2014/main" id="{C3B06D63-9BE9-4C2A-8373-C91CC03C8D16}"/>
            </a:ext>
          </a:extLst>
        </xdr:cNvPr>
        <xdr:cNvSpPr/>
      </xdr:nvSpPr>
      <xdr:spPr>
        <a:xfrm rot="10800000">
          <a:off x="833628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840</xdr:row>
      <xdr:rowOff>0</xdr:rowOff>
    </xdr:from>
    <xdr:to>
      <xdr:col>24</xdr:col>
      <xdr:colOff>83820</xdr:colOff>
      <xdr:row>840</xdr:row>
      <xdr:rowOff>114300</xdr:rowOff>
    </xdr:to>
    <xdr:sp macro="" textlink="">
      <xdr:nvSpPr>
        <xdr:cNvPr id="6580" name="Arrow: Down 6579">
          <a:extLst>
            <a:ext uri="{FF2B5EF4-FFF2-40B4-BE49-F238E27FC236}">
              <a16:creationId xmlns:a16="http://schemas.microsoft.com/office/drawing/2014/main" id="{DBEEED1D-5097-4D7F-B1BB-F689B46C09FF}"/>
            </a:ext>
          </a:extLst>
        </xdr:cNvPr>
        <xdr:cNvSpPr/>
      </xdr:nvSpPr>
      <xdr:spPr>
        <a:xfrm rot="10800000">
          <a:off x="833628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840</xdr:row>
      <xdr:rowOff>0</xdr:rowOff>
    </xdr:from>
    <xdr:to>
      <xdr:col>39</xdr:col>
      <xdr:colOff>83820</xdr:colOff>
      <xdr:row>840</xdr:row>
      <xdr:rowOff>114300</xdr:rowOff>
    </xdr:to>
    <xdr:sp macro="" textlink="">
      <xdr:nvSpPr>
        <xdr:cNvPr id="6582" name="Arrow: Down 6581">
          <a:extLst>
            <a:ext uri="{FF2B5EF4-FFF2-40B4-BE49-F238E27FC236}">
              <a16:creationId xmlns:a16="http://schemas.microsoft.com/office/drawing/2014/main" id="{3399B708-39E7-4425-8032-F38AE696DE8A}"/>
            </a:ext>
          </a:extLst>
        </xdr:cNvPr>
        <xdr:cNvSpPr/>
      </xdr:nvSpPr>
      <xdr:spPr>
        <a:xfrm>
          <a:off x="1154430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848</xdr:row>
      <xdr:rowOff>0</xdr:rowOff>
    </xdr:from>
    <xdr:to>
      <xdr:col>39</xdr:col>
      <xdr:colOff>83820</xdr:colOff>
      <xdr:row>848</xdr:row>
      <xdr:rowOff>114300</xdr:rowOff>
    </xdr:to>
    <xdr:sp macro="" textlink="">
      <xdr:nvSpPr>
        <xdr:cNvPr id="6584" name="Arrow: Down 6583">
          <a:extLst>
            <a:ext uri="{FF2B5EF4-FFF2-40B4-BE49-F238E27FC236}">
              <a16:creationId xmlns:a16="http://schemas.microsoft.com/office/drawing/2014/main" id="{73D8D1B5-A50E-43B4-A1B5-A30009DA4FFB}"/>
            </a:ext>
          </a:extLst>
        </xdr:cNvPr>
        <xdr:cNvSpPr/>
      </xdr:nvSpPr>
      <xdr:spPr>
        <a:xfrm>
          <a:off x="11544300" y="1551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842</xdr:row>
      <xdr:rowOff>0</xdr:rowOff>
    </xdr:from>
    <xdr:to>
      <xdr:col>39</xdr:col>
      <xdr:colOff>83820</xdr:colOff>
      <xdr:row>842</xdr:row>
      <xdr:rowOff>114300</xdr:rowOff>
    </xdr:to>
    <xdr:sp macro="" textlink="">
      <xdr:nvSpPr>
        <xdr:cNvPr id="6585" name="Arrow: Down 6584">
          <a:extLst>
            <a:ext uri="{FF2B5EF4-FFF2-40B4-BE49-F238E27FC236}">
              <a16:creationId xmlns:a16="http://schemas.microsoft.com/office/drawing/2014/main" id="{4A8475F1-36F5-4F81-87ED-C913015E27A3}"/>
            </a:ext>
          </a:extLst>
        </xdr:cNvPr>
        <xdr:cNvSpPr/>
      </xdr:nvSpPr>
      <xdr:spPr>
        <a:xfrm>
          <a:off x="1154430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849</xdr:row>
      <xdr:rowOff>0</xdr:rowOff>
    </xdr:from>
    <xdr:to>
      <xdr:col>39</xdr:col>
      <xdr:colOff>83820</xdr:colOff>
      <xdr:row>849</xdr:row>
      <xdr:rowOff>114300</xdr:rowOff>
    </xdr:to>
    <xdr:sp macro="" textlink="">
      <xdr:nvSpPr>
        <xdr:cNvPr id="6586" name="Arrow: Down 6585">
          <a:extLst>
            <a:ext uri="{FF2B5EF4-FFF2-40B4-BE49-F238E27FC236}">
              <a16:creationId xmlns:a16="http://schemas.microsoft.com/office/drawing/2014/main" id="{B1BC539C-3441-4317-87C6-02703F247F66}"/>
            </a:ext>
          </a:extLst>
        </xdr:cNvPr>
        <xdr:cNvSpPr/>
      </xdr:nvSpPr>
      <xdr:spPr>
        <a:xfrm>
          <a:off x="1154430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843</xdr:row>
      <xdr:rowOff>0</xdr:rowOff>
    </xdr:from>
    <xdr:to>
      <xdr:col>39</xdr:col>
      <xdr:colOff>83820</xdr:colOff>
      <xdr:row>843</xdr:row>
      <xdr:rowOff>114300</xdr:rowOff>
    </xdr:to>
    <xdr:sp macro="" textlink="">
      <xdr:nvSpPr>
        <xdr:cNvPr id="6587" name="Arrow: Down 6586">
          <a:extLst>
            <a:ext uri="{FF2B5EF4-FFF2-40B4-BE49-F238E27FC236}">
              <a16:creationId xmlns:a16="http://schemas.microsoft.com/office/drawing/2014/main" id="{0A843FBC-2D6F-4AF8-8894-227FE7C86491}"/>
            </a:ext>
          </a:extLst>
        </xdr:cNvPr>
        <xdr:cNvSpPr/>
      </xdr:nvSpPr>
      <xdr:spPr>
        <a:xfrm>
          <a:off x="11544300" y="1542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845</xdr:row>
      <xdr:rowOff>0</xdr:rowOff>
    </xdr:from>
    <xdr:to>
      <xdr:col>39</xdr:col>
      <xdr:colOff>83820</xdr:colOff>
      <xdr:row>845</xdr:row>
      <xdr:rowOff>114300</xdr:rowOff>
    </xdr:to>
    <xdr:sp macro="" textlink="">
      <xdr:nvSpPr>
        <xdr:cNvPr id="6588" name="Arrow: Down 6587">
          <a:extLst>
            <a:ext uri="{FF2B5EF4-FFF2-40B4-BE49-F238E27FC236}">
              <a16:creationId xmlns:a16="http://schemas.microsoft.com/office/drawing/2014/main" id="{84AC1197-174B-4B15-A81E-4AAA8C5D9C24}"/>
            </a:ext>
          </a:extLst>
        </xdr:cNvPr>
        <xdr:cNvSpPr/>
      </xdr:nvSpPr>
      <xdr:spPr>
        <a:xfrm>
          <a:off x="1154430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846</xdr:row>
      <xdr:rowOff>0</xdr:rowOff>
    </xdr:from>
    <xdr:to>
      <xdr:col>39</xdr:col>
      <xdr:colOff>83820</xdr:colOff>
      <xdr:row>846</xdr:row>
      <xdr:rowOff>114300</xdr:rowOff>
    </xdr:to>
    <xdr:sp macro="" textlink="">
      <xdr:nvSpPr>
        <xdr:cNvPr id="6589" name="Arrow: Down 6588">
          <a:extLst>
            <a:ext uri="{FF2B5EF4-FFF2-40B4-BE49-F238E27FC236}">
              <a16:creationId xmlns:a16="http://schemas.microsoft.com/office/drawing/2014/main" id="{610EC344-F8EA-4C07-9CB1-F4E1B9FE6C44}"/>
            </a:ext>
          </a:extLst>
        </xdr:cNvPr>
        <xdr:cNvSpPr/>
      </xdr:nvSpPr>
      <xdr:spPr>
        <a:xfrm>
          <a:off x="1154430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850</xdr:row>
      <xdr:rowOff>0</xdr:rowOff>
    </xdr:from>
    <xdr:to>
      <xdr:col>39</xdr:col>
      <xdr:colOff>83820</xdr:colOff>
      <xdr:row>850</xdr:row>
      <xdr:rowOff>114300</xdr:rowOff>
    </xdr:to>
    <xdr:sp macro="" textlink="">
      <xdr:nvSpPr>
        <xdr:cNvPr id="6591" name="Arrow: Down 6590">
          <a:extLst>
            <a:ext uri="{FF2B5EF4-FFF2-40B4-BE49-F238E27FC236}">
              <a16:creationId xmlns:a16="http://schemas.microsoft.com/office/drawing/2014/main" id="{223CA6CD-471C-48CE-95AD-5DFE52017101}"/>
            </a:ext>
          </a:extLst>
        </xdr:cNvPr>
        <xdr:cNvSpPr/>
      </xdr:nvSpPr>
      <xdr:spPr>
        <a:xfrm>
          <a:off x="11544300" y="1555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851</xdr:row>
      <xdr:rowOff>0</xdr:rowOff>
    </xdr:from>
    <xdr:to>
      <xdr:col>39</xdr:col>
      <xdr:colOff>83820</xdr:colOff>
      <xdr:row>851</xdr:row>
      <xdr:rowOff>114300</xdr:rowOff>
    </xdr:to>
    <xdr:sp macro="" textlink="">
      <xdr:nvSpPr>
        <xdr:cNvPr id="6592" name="Arrow: Down 6591">
          <a:extLst>
            <a:ext uri="{FF2B5EF4-FFF2-40B4-BE49-F238E27FC236}">
              <a16:creationId xmlns:a16="http://schemas.microsoft.com/office/drawing/2014/main" id="{9B87E6DE-513B-4CA2-8BF0-35502F1D59DB}"/>
            </a:ext>
          </a:extLst>
        </xdr:cNvPr>
        <xdr:cNvSpPr/>
      </xdr:nvSpPr>
      <xdr:spPr>
        <a:xfrm>
          <a:off x="11544300" y="1557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838</xdr:row>
      <xdr:rowOff>0</xdr:rowOff>
    </xdr:from>
    <xdr:to>
      <xdr:col>60</xdr:col>
      <xdr:colOff>83820</xdr:colOff>
      <xdr:row>838</xdr:row>
      <xdr:rowOff>114300</xdr:rowOff>
    </xdr:to>
    <xdr:sp macro="" textlink="">
      <xdr:nvSpPr>
        <xdr:cNvPr id="6594" name="Arrow: Down 6593">
          <a:extLst>
            <a:ext uri="{FF2B5EF4-FFF2-40B4-BE49-F238E27FC236}">
              <a16:creationId xmlns:a16="http://schemas.microsoft.com/office/drawing/2014/main" id="{111937AB-B1DF-4009-AB9C-0CC3EEFAC307}"/>
            </a:ext>
          </a:extLst>
        </xdr:cNvPr>
        <xdr:cNvSpPr/>
      </xdr:nvSpPr>
      <xdr:spPr>
        <a:xfrm>
          <a:off x="19126200" y="1533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840</xdr:row>
      <xdr:rowOff>0</xdr:rowOff>
    </xdr:from>
    <xdr:to>
      <xdr:col>60</xdr:col>
      <xdr:colOff>83820</xdr:colOff>
      <xdr:row>840</xdr:row>
      <xdr:rowOff>114300</xdr:rowOff>
    </xdr:to>
    <xdr:sp macro="" textlink="">
      <xdr:nvSpPr>
        <xdr:cNvPr id="6595" name="Arrow: Down 6594">
          <a:extLst>
            <a:ext uri="{FF2B5EF4-FFF2-40B4-BE49-F238E27FC236}">
              <a16:creationId xmlns:a16="http://schemas.microsoft.com/office/drawing/2014/main" id="{5155AAC5-9810-465B-A84C-793E2D079208}"/>
            </a:ext>
          </a:extLst>
        </xdr:cNvPr>
        <xdr:cNvSpPr/>
      </xdr:nvSpPr>
      <xdr:spPr>
        <a:xfrm>
          <a:off x="1912620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842</xdr:row>
      <xdr:rowOff>0</xdr:rowOff>
    </xdr:from>
    <xdr:to>
      <xdr:col>60</xdr:col>
      <xdr:colOff>83820</xdr:colOff>
      <xdr:row>842</xdr:row>
      <xdr:rowOff>114300</xdr:rowOff>
    </xdr:to>
    <xdr:sp macro="" textlink="">
      <xdr:nvSpPr>
        <xdr:cNvPr id="6596" name="Arrow: Down 6595">
          <a:extLst>
            <a:ext uri="{FF2B5EF4-FFF2-40B4-BE49-F238E27FC236}">
              <a16:creationId xmlns:a16="http://schemas.microsoft.com/office/drawing/2014/main" id="{7F17F5EA-4708-4D4F-ABA9-0E356E79A5CC}"/>
            </a:ext>
          </a:extLst>
        </xdr:cNvPr>
        <xdr:cNvSpPr/>
      </xdr:nvSpPr>
      <xdr:spPr>
        <a:xfrm>
          <a:off x="1912620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844</xdr:row>
      <xdr:rowOff>0</xdr:rowOff>
    </xdr:from>
    <xdr:to>
      <xdr:col>60</xdr:col>
      <xdr:colOff>83820</xdr:colOff>
      <xdr:row>844</xdr:row>
      <xdr:rowOff>114300</xdr:rowOff>
    </xdr:to>
    <xdr:sp macro="" textlink="">
      <xdr:nvSpPr>
        <xdr:cNvPr id="6597" name="Arrow: Down 6596">
          <a:extLst>
            <a:ext uri="{FF2B5EF4-FFF2-40B4-BE49-F238E27FC236}">
              <a16:creationId xmlns:a16="http://schemas.microsoft.com/office/drawing/2014/main" id="{D0B51A0D-BFDD-461B-B724-D9C70B0D5B33}"/>
            </a:ext>
          </a:extLst>
        </xdr:cNvPr>
        <xdr:cNvSpPr/>
      </xdr:nvSpPr>
      <xdr:spPr>
        <a:xfrm>
          <a:off x="19126200" y="15444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846</xdr:row>
      <xdr:rowOff>0</xdr:rowOff>
    </xdr:from>
    <xdr:to>
      <xdr:col>60</xdr:col>
      <xdr:colOff>83820</xdr:colOff>
      <xdr:row>846</xdr:row>
      <xdr:rowOff>114300</xdr:rowOff>
    </xdr:to>
    <xdr:sp macro="" textlink="">
      <xdr:nvSpPr>
        <xdr:cNvPr id="6599" name="Arrow: Down 6598">
          <a:extLst>
            <a:ext uri="{FF2B5EF4-FFF2-40B4-BE49-F238E27FC236}">
              <a16:creationId xmlns:a16="http://schemas.microsoft.com/office/drawing/2014/main" id="{7543E5DF-8436-4182-BB7A-1925012167D5}"/>
            </a:ext>
          </a:extLst>
        </xdr:cNvPr>
        <xdr:cNvSpPr/>
      </xdr:nvSpPr>
      <xdr:spPr>
        <a:xfrm>
          <a:off x="19126200" y="1548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849</xdr:row>
      <xdr:rowOff>0</xdr:rowOff>
    </xdr:from>
    <xdr:to>
      <xdr:col>60</xdr:col>
      <xdr:colOff>83820</xdr:colOff>
      <xdr:row>849</xdr:row>
      <xdr:rowOff>114300</xdr:rowOff>
    </xdr:to>
    <xdr:sp macro="" textlink="">
      <xdr:nvSpPr>
        <xdr:cNvPr id="6601" name="Arrow: Down 6600">
          <a:extLst>
            <a:ext uri="{FF2B5EF4-FFF2-40B4-BE49-F238E27FC236}">
              <a16:creationId xmlns:a16="http://schemas.microsoft.com/office/drawing/2014/main" id="{D56164A7-AA79-47DB-B347-6F3DA321F128}"/>
            </a:ext>
          </a:extLst>
        </xdr:cNvPr>
        <xdr:cNvSpPr/>
      </xdr:nvSpPr>
      <xdr:spPr>
        <a:xfrm>
          <a:off x="1912620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851</xdr:row>
      <xdr:rowOff>0</xdr:rowOff>
    </xdr:from>
    <xdr:to>
      <xdr:col>60</xdr:col>
      <xdr:colOff>83820</xdr:colOff>
      <xdr:row>851</xdr:row>
      <xdr:rowOff>114300</xdr:rowOff>
    </xdr:to>
    <xdr:sp macro="" textlink="">
      <xdr:nvSpPr>
        <xdr:cNvPr id="6602" name="Arrow: Down 6601">
          <a:extLst>
            <a:ext uri="{FF2B5EF4-FFF2-40B4-BE49-F238E27FC236}">
              <a16:creationId xmlns:a16="http://schemas.microsoft.com/office/drawing/2014/main" id="{C52D2E35-83DC-4CB3-94DD-A64F1D9C33FB}"/>
            </a:ext>
          </a:extLst>
        </xdr:cNvPr>
        <xdr:cNvSpPr/>
      </xdr:nvSpPr>
      <xdr:spPr>
        <a:xfrm>
          <a:off x="19126200" y="1557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838</xdr:row>
      <xdr:rowOff>0</xdr:rowOff>
    </xdr:from>
    <xdr:to>
      <xdr:col>71</xdr:col>
      <xdr:colOff>83820</xdr:colOff>
      <xdr:row>838</xdr:row>
      <xdr:rowOff>114300</xdr:rowOff>
    </xdr:to>
    <xdr:sp macro="" textlink="">
      <xdr:nvSpPr>
        <xdr:cNvPr id="6604" name="Arrow: Down 6603">
          <a:extLst>
            <a:ext uri="{FF2B5EF4-FFF2-40B4-BE49-F238E27FC236}">
              <a16:creationId xmlns:a16="http://schemas.microsoft.com/office/drawing/2014/main" id="{154306AB-A504-4D2E-96BD-109B48952185}"/>
            </a:ext>
          </a:extLst>
        </xdr:cNvPr>
        <xdr:cNvSpPr/>
      </xdr:nvSpPr>
      <xdr:spPr>
        <a:xfrm>
          <a:off x="22006560" y="1533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842</xdr:row>
      <xdr:rowOff>0</xdr:rowOff>
    </xdr:from>
    <xdr:to>
      <xdr:col>71</xdr:col>
      <xdr:colOff>83820</xdr:colOff>
      <xdr:row>842</xdr:row>
      <xdr:rowOff>114300</xdr:rowOff>
    </xdr:to>
    <xdr:sp macro="" textlink="">
      <xdr:nvSpPr>
        <xdr:cNvPr id="6605" name="Arrow: Down 6604">
          <a:extLst>
            <a:ext uri="{FF2B5EF4-FFF2-40B4-BE49-F238E27FC236}">
              <a16:creationId xmlns:a16="http://schemas.microsoft.com/office/drawing/2014/main" id="{323BE41F-365B-4996-BE07-F5F7FB8F98AA}"/>
            </a:ext>
          </a:extLst>
        </xdr:cNvPr>
        <xdr:cNvSpPr/>
      </xdr:nvSpPr>
      <xdr:spPr>
        <a:xfrm>
          <a:off x="2200656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846</xdr:row>
      <xdr:rowOff>0</xdr:rowOff>
    </xdr:from>
    <xdr:to>
      <xdr:col>71</xdr:col>
      <xdr:colOff>83820</xdr:colOff>
      <xdr:row>846</xdr:row>
      <xdr:rowOff>114300</xdr:rowOff>
    </xdr:to>
    <xdr:sp macro="" textlink="">
      <xdr:nvSpPr>
        <xdr:cNvPr id="6606" name="Arrow: Down 6605">
          <a:extLst>
            <a:ext uri="{FF2B5EF4-FFF2-40B4-BE49-F238E27FC236}">
              <a16:creationId xmlns:a16="http://schemas.microsoft.com/office/drawing/2014/main" id="{22FDFED4-A5A1-43B1-A0AA-E96C93EDB81D}"/>
            </a:ext>
          </a:extLst>
        </xdr:cNvPr>
        <xdr:cNvSpPr/>
      </xdr:nvSpPr>
      <xdr:spPr>
        <a:xfrm>
          <a:off x="22006560" y="1548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501</xdr:row>
      <xdr:rowOff>0</xdr:rowOff>
    </xdr:from>
    <xdr:to>
      <xdr:col>14</xdr:col>
      <xdr:colOff>83820</xdr:colOff>
      <xdr:row>501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06AECD08-3019-4EE3-A611-3E256F778477}"/>
            </a:ext>
          </a:extLst>
        </xdr:cNvPr>
        <xdr:cNvSpPr/>
      </xdr:nvSpPr>
      <xdr:spPr>
        <a:xfrm>
          <a:off x="5295900" y="6329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502</xdr:row>
      <xdr:rowOff>0</xdr:rowOff>
    </xdr:from>
    <xdr:to>
      <xdr:col>14</xdr:col>
      <xdr:colOff>83820</xdr:colOff>
      <xdr:row>502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9FAE4259-61D4-4AB4-B0DA-F74441A36828}"/>
            </a:ext>
          </a:extLst>
        </xdr:cNvPr>
        <xdr:cNvSpPr/>
      </xdr:nvSpPr>
      <xdr:spPr>
        <a:xfrm>
          <a:off x="5295900" y="6347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496</xdr:row>
      <xdr:rowOff>0</xdr:rowOff>
    </xdr:from>
    <xdr:to>
      <xdr:col>14</xdr:col>
      <xdr:colOff>83820</xdr:colOff>
      <xdr:row>496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F980A036-A5D2-4EF7-80B4-FB643B3C28C5}"/>
            </a:ext>
          </a:extLst>
        </xdr:cNvPr>
        <xdr:cNvSpPr/>
      </xdr:nvSpPr>
      <xdr:spPr>
        <a:xfrm rot="10800000">
          <a:off x="5295900" y="6256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500</xdr:row>
      <xdr:rowOff>0</xdr:rowOff>
    </xdr:from>
    <xdr:to>
      <xdr:col>14</xdr:col>
      <xdr:colOff>83820</xdr:colOff>
      <xdr:row>500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6BFB05A5-8659-492E-A489-30B32A2B0C00}"/>
            </a:ext>
          </a:extLst>
        </xdr:cNvPr>
        <xdr:cNvSpPr/>
      </xdr:nvSpPr>
      <xdr:spPr>
        <a:xfrm rot="10800000">
          <a:off x="5295900" y="6329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497</xdr:row>
      <xdr:rowOff>0</xdr:rowOff>
    </xdr:from>
    <xdr:to>
      <xdr:col>14</xdr:col>
      <xdr:colOff>83820</xdr:colOff>
      <xdr:row>497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7CB70AB7-077B-4AE1-99B9-5649E5C6A84D}"/>
            </a:ext>
          </a:extLst>
        </xdr:cNvPr>
        <xdr:cNvSpPr/>
      </xdr:nvSpPr>
      <xdr:spPr>
        <a:xfrm rot="10800000">
          <a:off x="5295900" y="6274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498</xdr:row>
      <xdr:rowOff>0</xdr:rowOff>
    </xdr:from>
    <xdr:to>
      <xdr:col>14</xdr:col>
      <xdr:colOff>83820</xdr:colOff>
      <xdr:row>498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C0751631-F78E-46BD-A09E-87B26B970589}"/>
            </a:ext>
          </a:extLst>
        </xdr:cNvPr>
        <xdr:cNvSpPr/>
      </xdr:nvSpPr>
      <xdr:spPr>
        <a:xfrm rot="10800000">
          <a:off x="5295900" y="6292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499</xdr:row>
      <xdr:rowOff>0</xdr:rowOff>
    </xdr:from>
    <xdr:to>
      <xdr:col>14</xdr:col>
      <xdr:colOff>83820</xdr:colOff>
      <xdr:row>499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E4163A4D-53C2-41E7-9D15-589A96C10ADB}"/>
            </a:ext>
          </a:extLst>
        </xdr:cNvPr>
        <xdr:cNvSpPr/>
      </xdr:nvSpPr>
      <xdr:spPr>
        <a:xfrm rot="10800000">
          <a:off x="5295900" y="6310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503</xdr:row>
      <xdr:rowOff>0</xdr:rowOff>
    </xdr:from>
    <xdr:to>
      <xdr:col>14</xdr:col>
      <xdr:colOff>83820</xdr:colOff>
      <xdr:row>503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E5B5B281-F5FE-4DE2-B5B1-86333365E166}"/>
            </a:ext>
          </a:extLst>
        </xdr:cNvPr>
        <xdr:cNvSpPr/>
      </xdr:nvSpPr>
      <xdr:spPr>
        <a:xfrm rot="10800000">
          <a:off x="5295900" y="6384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505</xdr:row>
      <xdr:rowOff>0</xdr:rowOff>
    </xdr:from>
    <xdr:to>
      <xdr:col>14</xdr:col>
      <xdr:colOff>83820</xdr:colOff>
      <xdr:row>505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F16462A8-A2A1-4893-A204-3529C028017E}"/>
            </a:ext>
          </a:extLst>
        </xdr:cNvPr>
        <xdr:cNvSpPr/>
      </xdr:nvSpPr>
      <xdr:spPr>
        <a:xfrm rot="10800000">
          <a:off x="5295900" y="6402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506</xdr:row>
      <xdr:rowOff>0</xdr:rowOff>
    </xdr:from>
    <xdr:to>
      <xdr:col>14</xdr:col>
      <xdr:colOff>83820</xdr:colOff>
      <xdr:row>506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60A1668-1044-403E-8683-30675E9D620C}"/>
            </a:ext>
          </a:extLst>
        </xdr:cNvPr>
        <xdr:cNvSpPr/>
      </xdr:nvSpPr>
      <xdr:spPr>
        <a:xfrm rot="10800000">
          <a:off x="5295900" y="6420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507</xdr:row>
      <xdr:rowOff>0</xdr:rowOff>
    </xdr:from>
    <xdr:to>
      <xdr:col>14</xdr:col>
      <xdr:colOff>83820</xdr:colOff>
      <xdr:row>507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84BFB3F9-9D5E-4056-9196-C78442BDB45B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508</xdr:row>
      <xdr:rowOff>0</xdr:rowOff>
    </xdr:from>
    <xdr:to>
      <xdr:col>14</xdr:col>
      <xdr:colOff>83820</xdr:colOff>
      <xdr:row>508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51A46384-4B58-4477-830C-5A419D53B4A3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504</xdr:row>
      <xdr:rowOff>0</xdr:rowOff>
    </xdr:from>
    <xdr:to>
      <xdr:col>14</xdr:col>
      <xdr:colOff>83820</xdr:colOff>
      <xdr:row>504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CB20906C-F26A-4AC8-ABDD-7CB9D2493A4D}"/>
            </a:ext>
          </a:extLst>
        </xdr:cNvPr>
        <xdr:cNvSpPr/>
      </xdr:nvSpPr>
      <xdr:spPr>
        <a:xfrm>
          <a:off x="5295900" y="6402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509</xdr:row>
      <xdr:rowOff>0</xdr:rowOff>
    </xdr:from>
    <xdr:to>
      <xdr:col>14</xdr:col>
      <xdr:colOff>83820</xdr:colOff>
      <xdr:row>509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FD2623D-0967-4460-933D-BD2A0594752C}"/>
            </a:ext>
          </a:extLst>
        </xdr:cNvPr>
        <xdr:cNvSpPr/>
      </xdr:nvSpPr>
      <xdr:spPr>
        <a:xfrm>
          <a:off x="5295900" y="6493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510</xdr:row>
      <xdr:rowOff>0</xdr:rowOff>
    </xdr:from>
    <xdr:to>
      <xdr:col>14</xdr:col>
      <xdr:colOff>83820</xdr:colOff>
      <xdr:row>510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E1DE9EBE-38E6-4379-8042-54B88470EFB9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511</xdr:row>
      <xdr:rowOff>0</xdr:rowOff>
    </xdr:from>
    <xdr:to>
      <xdr:col>14</xdr:col>
      <xdr:colOff>83820</xdr:colOff>
      <xdr:row>511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A0F87F7B-256B-460B-8AC0-7826E34B7875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512</xdr:row>
      <xdr:rowOff>0</xdr:rowOff>
    </xdr:from>
    <xdr:to>
      <xdr:col>14</xdr:col>
      <xdr:colOff>83820</xdr:colOff>
      <xdr:row>512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822F0C82-0847-4B9D-B0F9-D0DF10880F72}"/>
            </a:ext>
          </a:extLst>
        </xdr:cNvPr>
        <xdr:cNvSpPr/>
      </xdr:nvSpPr>
      <xdr:spPr>
        <a:xfrm>
          <a:off x="5295900" y="6548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513</xdr:row>
      <xdr:rowOff>0</xdr:rowOff>
    </xdr:from>
    <xdr:to>
      <xdr:col>14</xdr:col>
      <xdr:colOff>83820</xdr:colOff>
      <xdr:row>513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889F0F3-AD8B-430C-A3A4-60FB98553D2A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514</xdr:row>
      <xdr:rowOff>0</xdr:rowOff>
    </xdr:from>
    <xdr:to>
      <xdr:col>14</xdr:col>
      <xdr:colOff>83820</xdr:colOff>
      <xdr:row>514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305479EE-151B-492A-932B-39A5AF18AA9D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83820</xdr:colOff>
      <xdr:row>515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E6988E77-160E-4786-8EFD-0AA89BB03803}"/>
            </a:ext>
          </a:extLst>
        </xdr:cNvPr>
        <xdr:cNvSpPr/>
      </xdr:nvSpPr>
      <xdr:spPr>
        <a:xfrm rot="10800000">
          <a:off x="5295900" y="6585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516</xdr:row>
      <xdr:rowOff>0</xdr:rowOff>
    </xdr:from>
    <xdr:to>
      <xdr:col>14</xdr:col>
      <xdr:colOff>83820</xdr:colOff>
      <xdr:row>516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690EC809-F52B-4458-9153-C1B9512EC644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517</xdr:row>
      <xdr:rowOff>0</xdr:rowOff>
    </xdr:from>
    <xdr:to>
      <xdr:col>14</xdr:col>
      <xdr:colOff>83820</xdr:colOff>
      <xdr:row>517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101B5470-2CA2-4BB1-B28F-7EC004441279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518</xdr:row>
      <xdr:rowOff>0</xdr:rowOff>
    </xdr:from>
    <xdr:to>
      <xdr:col>14</xdr:col>
      <xdr:colOff>83820</xdr:colOff>
      <xdr:row>518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28D9B5F7-1AC5-437B-AB2F-B18FA6DE05E1}"/>
            </a:ext>
          </a:extLst>
        </xdr:cNvPr>
        <xdr:cNvSpPr/>
      </xdr:nvSpPr>
      <xdr:spPr>
        <a:xfrm>
          <a:off x="5295900" y="6640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520</xdr:row>
      <xdr:rowOff>0</xdr:rowOff>
    </xdr:from>
    <xdr:to>
      <xdr:col>14</xdr:col>
      <xdr:colOff>83820</xdr:colOff>
      <xdr:row>520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C677C274-71AE-4A84-9A98-CAB535F1A701}"/>
            </a:ext>
          </a:extLst>
        </xdr:cNvPr>
        <xdr:cNvSpPr/>
      </xdr:nvSpPr>
      <xdr:spPr>
        <a:xfrm>
          <a:off x="5295900" y="6676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521</xdr:row>
      <xdr:rowOff>0</xdr:rowOff>
    </xdr:from>
    <xdr:to>
      <xdr:col>14</xdr:col>
      <xdr:colOff>83820</xdr:colOff>
      <xdr:row>521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3AA41532-ADDE-44D0-A7D5-5F73E8981BC4}"/>
            </a:ext>
          </a:extLst>
        </xdr:cNvPr>
        <xdr:cNvSpPr/>
      </xdr:nvSpPr>
      <xdr:spPr>
        <a:xfrm>
          <a:off x="5295900" y="6694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523</xdr:row>
      <xdr:rowOff>0</xdr:rowOff>
    </xdr:from>
    <xdr:to>
      <xdr:col>14</xdr:col>
      <xdr:colOff>83820</xdr:colOff>
      <xdr:row>523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08370DC4-30BB-4890-9B2F-59F8609E122E}"/>
            </a:ext>
          </a:extLst>
        </xdr:cNvPr>
        <xdr:cNvSpPr/>
      </xdr:nvSpPr>
      <xdr:spPr>
        <a:xfrm>
          <a:off x="5295900" y="6731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519</xdr:row>
      <xdr:rowOff>0</xdr:rowOff>
    </xdr:from>
    <xdr:to>
      <xdr:col>14</xdr:col>
      <xdr:colOff>83820</xdr:colOff>
      <xdr:row>519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D4D3B398-5524-4A25-8CF5-DEF45351CE07}"/>
            </a:ext>
          </a:extLst>
        </xdr:cNvPr>
        <xdr:cNvSpPr/>
      </xdr:nvSpPr>
      <xdr:spPr>
        <a:xfrm rot="10800000">
          <a:off x="5295900" y="6676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522</xdr:row>
      <xdr:rowOff>0</xdr:rowOff>
    </xdr:from>
    <xdr:to>
      <xdr:col>14</xdr:col>
      <xdr:colOff>83820</xdr:colOff>
      <xdr:row>522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1CF8A6D3-0EAB-4B29-B8D6-C7AFBD024833}"/>
            </a:ext>
          </a:extLst>
        </xdr:cNvPr>
        <xdr:cNvSpPr/>
      </xdr:nvSpPr>
      <xdr:spPr>
        <a:xfrm rot="10800000">
          <a:off x="5295900" y="6731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524</xdr:row>
      <xdr:rowOff>0</xdr:rowOff>
    </xdr:from>
    <xdr:to>
      <xdr:col>14</xdr:col>
      <xdr:colOff>83820</xdr:colOff>
      <xdr:row>524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964E356B-48D8-435A-BEAD-751CC123B224}"/>
            </a:ext>
          </a:extLst>
        </xdr:cNvPr>
        <xdr:cNvSpPr/>
      </xdr:nvSpPr>
      <xdr:spPr>
        <a:xfrm>
          <a:off x="5295900" y="6749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525</xdr:row>
      <xdr:rowOff>0</xdr:rowOff>
    </xdr:from>
    <xdr:to>
      <xdr:col>14</xdr:col>
      <xdr:colOff>83820</xdr:colOff>
      <xdr:row>525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CB4E781D-17E2-4D16-8263-833AE5140231}"/>
            </a:ext>
          </a:extLst>
        </xdr:cNvPr>
        <xdr:cNvSpPr/>
      </xdr:nvSpPr>
      <xdr:spPr>
        <a:xfrm>
          <a:off x="5295900" y="6768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527</xdr:row>
      <xdr:rowOff>0</xdr:rowOff>
    </xdr:from>
    <xdr:to>
      <xdr:col>14</xdr:col>
      <xdr:colOff>83820</xdr:colOff>
      <xdr:row>527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F386C1D7-9CF1-403E-B02B-47EB7C9249F2}"/>
            </a:ext>
          </a:extLst>
        </xdr:cNvPr>
        <xdr:cNvSpPr/>
      </xdr:nvSpPr>
      <xdr:spPr>
        <a:xfrm>
          <a:off x="5295900" y="6804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528</xdr:row>
      <xdr:rowOff>0</xdr:rowOff>
    </xdr:from>
    <xdr:to>
      <xdr:col>14</xdr:col>
      <xdr:colOff>83820</xdr:colOff>
      <xdr:row>528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1D86FA9-068C-4784-98C9-2A672D8883C4}"/>
            </a:ext>
          </a:extLst>
        </xdr:cNvPr>
        <xdr:cNvSpPr/>
      </xdr:nvSpPr>
      <xdr:spPr>
        <a:xfrm>
          <a:off x="5295900" y="6822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530</xdr:row>
      <xdr:rowOff>0</xdr:rowOff>
    </xdr:from>
    <xdr:to>
      <xdr:col>14</xdr:col>
      <xdr:colOff>83820</xdr:colOff>
      <xdr:row>530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9818D0B-5FE6-42BE-AFE0-9A2305C42BAD}"/>
            </a:ext>
          </a:extLst>
        </xdr:cNvPr>
        <xdr:cNvSpPr/>
      </xdr:nvSpPr>
      <xdr:spPr>
        <a:xfrm>
          <a:off x="5295900" y="6859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526</xdr:row>
      <xdr:rowOff>0</xdr:rowOff>
    </xdr:from>
    <xdr:to>
      <xdr:col>14</xdr:col>
      <xdr:colOff>83820</xdr:colOff>
      <xdr:row>526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717DE34-C815-45EB-8E93-5A3A2BD8E481}"/>
            </a:ext>
          </a:extLst>
        </xdr:cNvPr>
        <xdr:cNvSpPr/>
      </xdr:nvSpPr>
      <xdr:spPr>
        <a:xfrm rot="10800000">
          <a:off x="5295900" y="6804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529</xdr:row>
      <xdr:rowOff>0</xdr:rowOff>
    </xdr:from>
    <xdr:to>
      <xdr:col>14</xdr:col>
      <xdr:colOff>83820</xdr:colOff>
      <xdr:row>529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6926C8D6-7950-43C1-807A-1A2495C1CCF3}"/>
            </a:ext>
          </a:extLst>
        </xdr:cNvPr>
        <xdr:cNvSpPr/>
      </xdr:nvSpPr>
      <xdr:spPr>
        <a:xfrm rot="10800000">
          <a:off x="5295900" y="6859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532</xdr:row>
      <xdr:rowOff>0</xdr:rowOff>
    </xdr:from>
    <xdr:to>
      <xdr:col>14</xdr:col>
      <xdr:colOff>83820</xdr:colOff>
      <xdr:row>532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0216D5B3-C164-4151-94F9-7A7734AB88F5}"/>
            </a:ext>
          </a:extLst>
        </xdr:cNvPr>
        <xdr:cNvSpPr/>
      </xdr:nvSpPr>
      <xdr:spPr>
        <a:xfrm>
          <a:off x="5295900" y="6896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534</xdr:row>
      <xdr:rowOff>0</xdr:rowOff>
    </xdr:from>
    <xdr:to>
      <xdr:col>14</xdr:col>
      <xdr:colOff>83820</xdr:colOff>
      <xdr:row>534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CB43B4AD-4DE3-4CB1-8A5C-98AB45CDFA93}"/>
            </a:ext>
          </a:extLst>
        </xdr:cNvPr>
        <xdr:cNvSpPr/>
      </xdr:nvSpPr>
      <xdr:spPr>
        <a:xfrm>
          <a:off x="5295900" y="6932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536</xdr:row>
      <xdr:rowOff>0</xdr:rowOff>
    </xdr:from>
    <xdr:to>
      <xdr:col>14</xdr:col>
      <xdr:colOff>83820</xdr:colOff>
      <xdr:row>536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AEA5E7BC-B6FF-4CFA-836F-C89E39D36CA1}"/>
            </a:ext>
          </a:extLst>
        </xdr:cNvPr>
        <xdr:cNvSpPr/>
      </xdr:nvSpPr>
      <xdr:spPr>
        <a:xfrm>
          <a:off x="5295900" y="6969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535</xdr:row>
      <xdr:rowOff>0</xdr:rowOff>
    </xdr:from>
    <xdr:to>
      <xdr:col>14</xdr:col>
      <xdr:colOff>83820</xdr:colOff>
      <xdr:row>535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D279196A-8023-45C4-B711-2B5ADF9CA307}"/>
            </a:ext>
          </a:extLst>
        </xdr:cNvPr>
        <xdr:cNvSpPr/>
      </xdr:nvSpPr>
      <xdr:spPr>
        <a:xfrm rot="10800000">
          <a:off x="5295900" y="6969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533</xdr:row>
      <xdr:rowOff>0</xdr:rowOff>
    </xdr:from>
    <xdr:to>
      <xdr:col>14</xdr:col>
      <xdr:colOff>83820</xdr:colOff>
      <xdr:row>533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00D88715-61CD-4BB4-909C-245D7FCF2DF4}"/>
            </a:ext>
          </a:extLst>
        </xdr:cNvPr>
        <xdr:cNvSpPr/>
      </xdr:nvSpPr>
      <xdr:spPr>
        <a:xfrm rot="10800000">
          <a:off x="5295900" y="6932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531</xdr:row>
      <xdr:rowOff>0</xdr:rowOff>
    </xdr:from>
    <xdr:to>
      <xdr:col>14</xdr:col>
      <xdr:colOff>83820</xdr:colOff>
      <xdr:row>531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1D29750F-DB7D-4D59-9C1F-2C3142128960}"/>
            </a:ext>
          </a:extLst>
        </xdr:cNvPr>
        <xdr:cNvSpPr/>
      </xdr:nvSpPr>
      <xdr:spPr>
        <a:xfrm rot="10800000">
          <a:off x="5295900" y="6896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537</xdr:row>
      <xdr:rowOff>0</xdr:rowOff>
    </xdr:from>
    <xdr:to>
      <xdr:col>14</xdr:col>
      <xdr:colOff>83820</xdr:colOff>
      <xdr:row>537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0B086D8D-04FE-439C-85AF-3DDABE0F2268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538</xdr:row>
      <xdr:rowOff>0</xdr:rowOff>
    </xdr:from>
    <xdr:to>
      <xdr:col>14</xdr:col>
      <xdr:colOff>83820</xdr:colOff>
      <xdr:row>538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D53AADA3-2F4A-4877-8B29-F63F9EAA9FE2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539</xdr:row>
      <xdr:rowOff>0</xdr:rowOff>
    </xdr:from>
    <xdr:to>
      <xdr:col>14</xdr:col>
      <xdr:colOff>83820</xdr:colOff>
      <xdr:row>539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EC18DA44-87BD-4BAE-910A-83C368995B8B}"/>
            </a:ext>
          </a:extLst>
        </xdr:cNvPr>
        <xdr:cNvSpPr/>
      </xdr:nvSpPr>
      <xdr:spPr>
        <a:xfrm>
          <a:off x="5295900" y="7024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545</xdr:row>
      <xdr:rowOff>0</xdr:rowOff>
    </xdr:from>
    <xdr:to>
      <xdr:col>14</xdr:col>
      <xdr:colOff>83820</xdr:colOff>
      <xdr:row>545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C85BE69C-C49A-47D6-8FCF-352398AFB288}"/>
            </a:ext>
          </a:extLst>
        </xdr:cNvPr>
        <xdr:cNvSpPr/>
      </xdr:nvSpPr>
      <xdr:spPr>
        <a:xfrm>
          <a:off x="5295900" y="7133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547</xdr:row>
      <xdr:rowOff>0</xdr:rowOff>
    </xdr:from>
    <xdr:to>
      <xdr:col>14</xdr:col>
      <xdr:colOff>83820</xdr:colOff>
      <xdr:row>547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2845AA91-A350-49C5-8648-C5A068A21B25}"/>
            </a:ext>
          </a:extLst>
        </xdr:cNvPr>
        <xdr:cNvSpPr/>
      </xdr:nvSpPr>
      <xdr:spPr>
        <a:xfrm>
          <a:off x="5295900" y="7170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549</xdr:row>
      <xdr:rowOff>0</xdr:rowOff>
    </xdr:from>
    <xdr:to>
      <xdr:col>14</xdr:col>
      <xdr:colOff>83820</xdr:colOff>
      <xdr:row>549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C1132EAE-C135-4E3D-BD72-8DB3834F5664}"/>
            </a:ext>
          </a:extLst>
        </xdr:cNvPr>
        <xdr:cNvSpPr/>
      </xdr:nvSpPr>
      <xdr:spPr>
        <a:xfrm>
          <a:off x="5295900" y="7206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550</xdr:row>
      <xdr:rowOff>0</xdr:rowOff>
    </xdr:from>
    <xdr:to>
      <xdr:col>14</xdr:col>
      <xdr:colOff>83820</xdr:colOff>
      <xdr:row>550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7A016349-268C-4817-976E-884476F88A76}"/>
            </a:ext>
          </a:extLst>
        </xdr:cNvPr>
        <xdr:cNvSpPr/>
      </xdr:nvSpPr>
      <xdr:spPr>
        <a:xfrm>
          <a:off x="5295900" y="7225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551</xdr:row>
      <xdr:rowOff>0</xdr:rowOff>
    </xdr:from>
    <xdr:to>
      <xdr:col>14</xdr:col>
      <xdr:colOff>83820</xdr:colOff>
      <xdr:row>551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903CE170-9980-4670-BD11-B8895D64A665}"/>
            </a:ext>
          </a:extLst>
        </xdr:cNvPr>
        <xdr:cNvSpPr/>
      </xdr:nvSpPr>
      <xdr:spPr>
        <a:xfrm>
          <a:off x="5295900" y="7243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540</xdr:row>
      <xdr:rowOff>0</xdr:rowOff>
    </xdr:from>
    <xdr:to>
      <xdr:col>14</xdr:col>
      <xdr:colOff>83820</xdr:colOff>
      <xdr:row>540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2C5D72AD-0B37-4AB8-A969-6057E92B377F}"/>
            </a:ext>
          </a:extLst>
        </xdr:cNvPr>
        <xdr:cNvSpPr/>
      </xdr:nvSpPr>
      <xdr:spPr>
        <a:xfrm rot="10800000">
          <a:off x="5295900" y="7060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548</xdr:row>
      <xdr:rowOff>0</xdr:rowOff>
    </xdr:from>
    <xdr:to>
      <xdr:col>14</xdr:col>
      <xdr:colOff>83820</xdr:colOff>
      <xdr:row>548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07103BB0-23EB-48BC-A934-BB64B698F6D0}"/>
            </a:ext>
          </a:extLst>
        </xdr:cNvPr>
        <xdr:cNvSpPr/>
      </xdr:nvSpPr>
      <xdr:spPr>
        <a:xfrm rot="10800000">
          <a:off x="5295900" y="7206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541</xdr:row>
      <xdr:rowOff>0</xdr:rowOff>
    </xdr:from>
    <xdr:to>
      <xdr:col>14</xdr:col>
      <xdr:colOff>83820</xdr:colOff>
      <xdr:row>541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049391A-BF31-4666-B823-305E44EDF18E}"/>
            </a:ext>
          </a:extLst>
        </xdr:cNvPr>
        <xdr:cNvSpPr/>
      </xdr:nvSpPr>
      <xdr:spPr>
        <a:xfrm rot="10800000">
          <a:off x="5295900" y="7078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546</xdr:row>
      <xdr:rowOff>0</xdr:rowOff>
    </xdr:from>
    <xdr:to>
      <xdr:col>14</xdr:col>
      <xdr:colOff>83820</xdr:colOff>
      <xdr:row>546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746094B2-3145-47C5-98E5-4409AE73C1FB}"/>
            </a:ext>
          </a:extLst>
        </xdr:cNvPr>
        <xdr:cNvSpPr/>
      </xdr:nvSpPr>
      <xdr:spPr>
        <a:xfrm rot="10800000">
          <a:off x="5295900" y="7170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542</xdr:row>
      <xdr:rowOff>0</xdr:rowOff>
    </xdr:from>
    <xdr:to>
      <xdr:col>14</xdr:col>
      <xdr:colOff>83820</xdr:colOff>
      <xdr:row>542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0995BAA3-B76D-44CC-9A84-B05E0C57F293}"/>
            </a:ext>
          </a:extLst>
        </xdr:cNvPr>
        <xdr:cNvSpPr/>
      </xdr:nvSpPr>
      <xdr:spPr>
        <a:xfrm rot="10800000">
          <a:off x="5295900" y="7097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543</xdr:row>
      <xdr:rowOff>0</xdr:rowOff>
    </xdr:from>
    <xdr:to>
      <xdr:col>14</xdr:col>
      <xdr:colOff>83820</xdr:colOff>
      <xdr:row>543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609C4721-AA2F-445D-BD7D-9D80C201D869}"/>
            </a:ext>
          </a:extLst>
        </xdr:cNvPr>
        <xdr:cNvSpPr/>
      </xdr:nvSpPr>
      <xdr:spPr>
        <a:xfrm rot="10800000">
          <a:off x="5295900" y="7115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544</xdr:row>
      <xdr:rowOff>0</xdr:rowOff>
    </xdr:from>
    <xdr:to>
      <xdr:col>14</xdr:col>
      <xdr:colOff>83820</xdr:colOff>
      <xdr:row>544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9CD970D5-049A-4D03-ADF3-F3270D28F5C6}"/>
            </a:ext>
          </a:extLst>
        </xdr:cNvPr>
        <xdr:cNvSpPr/>
      </xdr:nvSpPr>
      <xdr:spPr>
        <a:xfrm rot="10800000">
          <a:off x="5295900" y="7133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552</xdr:row>
      <xdr:rowOff>0</xdr:rowOff>
    </xdr:from>
    <xdr:to>
      <xdr:col>14</xdr:col>
      <xdr:colOff>83820</xdr:colOff>
      <xdr:row>552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A8860D71-F460-4426-84AF-24B12ED70083}"/>
            </a:ext>
          </a:extLst>
        </xdr:cNvPr>
        <xdr:cNvSpPr/>
      </xdr:nvSpPr>
      <xdr:spPr>
        <a:xfrm>
          <a:off x="5295900" y="7261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553</xdr:row>
      <xdr:rowOff>0</xdr:rowOff>
    </xdr:from>
    <xdr:to>
      <xdr:col>14</xdr:col>
      <xdr:colOff>83820</xdr:colOff>
      <xdr:row>553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E6B55100-E2CB-4C14-AAC9-7F767FA9DEE9}"/>
            </a:ext>
          </a:extLst>
        </xdr:cNvPr>
        <xdr:cNvSpPr/>
      </xdr:nvSpPr>
      <xdr:spPr>
        <a:xfrm>
          <a:off x="5295900" y="7280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556</xdr:row>
      <xdr:rowOff>0</xdr:rowOff>
    </xdr:from>
    <xdr:to>
      <xdr:col>14</xdr:col>
      <xdr:colOff>83820</xdr:colOff>
      <xdr:row>556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585E3333-A5CD-4676-9284-300B6EBD16E7}"/>
            </a:ext>
          </a:extLst>
        </xdr:cNvPr>
        <xdr:cNvSpPr/>
      </xdr:nvSpPr>
      <xdr:spPr>
        <a:xfrm>
          <a:off x="5295900" y="7335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557</xdr:row>
      <xdr:rowOff>0</xdr:rowOff>
    </xdr:from>
    <xdr:to>
      <xdr:col>14</xdr:col>
      <xdr:colOff>83820</xdr:colOff>
      <xdr:row>557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4FCB517-8580-402A-B7E4-0FFCA2587D2E}"/>
            </a:ext>
          </a:extLst>
        </xdr:cNvPr>
        <xdr:cNvSpPr/>
      </xdr:nvSpPr>
      <xdr:spPr>
        <a:xfrm>
          <a:off x="5295900" y="7353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554</xdr:row>
      <xdr:rowOff>0</xdr:rowOff>
    </xdr:from>
    <xdr:to>
      <xdr:col>14</xdr:col>
      <xdr:colOff>83820</xdr:colOff>
      <xdr:row>554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AF402AEC-5151-4FBC-9CF7-31279D698D80}"/>
            </a:ext>
          </a:extLst>
        </xdr:cNvPr>
        <xdr:cNvSpPr/>
      </xdr:nvSpPr>
      <xdr:spPr>
        <a:xfrm rot="10800000">
          <a:off x="5295900" y="7316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555</xdr:row>
      <xdr:rowOff>0</xdr:rowOff>
    </xdr:from>
    <xdr:to>
      <xdr:col>14</xdr:col>
      <xdr:colOff>83820</xdr:colOff>
      <xdr:row>555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6FD9B249-6C46-411B-867F-BF6F43BA3DFF}"/>
            </a:ext>
          </a:extLst>
        </xdr:cNvPr>
        <xdr:cNvSpPr/>
      </xdr:nvSpPr>
      <xdr:spPr>
        <a:xfrm rot="10800000">
          <a:off x="5295900" y="73350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558</xdr:row>
      <xdr:rowOff>0</xdr:rowOff>
    </xdr:from>
    <xdr:to>
      <xdr:col>14</xdr:col>
      <xdr:colOff>83820</xdr:colOff>
      <xdr:row>558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54FFCC15-AEC0-48A8-95BC-59698D266D21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559</xdr:row>
      <xdr:rowOff>0</xdr:rowOff>
    </xdr:from>
    <xdr:to>
      <xdr:col>14</xdr:col>
      <xdr:colOff>83820</xdr:colOff>
      <xdr:row>559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9DAE382B-DE6C-4275-8E3A-C8A09E2EB907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561</xdr:row>
      <xdr:rowOff>0</xdr:rowOff>
    </xdr:from>
    <xdr:to>
      <xdr:col>14</xdr:col>
      <xdr:colOff>83820</xdr:colOff>
      <xdr:row>561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FD0567F8-D42B-479D-910D-B16FC5F39F70}"/>
            </a:ext>
          </a:extLst>
        </xdr:cNvPr>
        <xdr:cNvSpPr/>
      </xdr:nvSpPr>
      <xdr:spPr>
        <a:xfrm>
          <a:off x="5295900" y="7426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560</xdr:row>
      <xdr:rowOff>0</xdr:rowOff>
    </xdr:from>
    <xdr:to>
      <xdr:col>14</xdr:col>
      <xdr:colOff>83820</xdr:colOff>
      <xdr:row>560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0F87CE0A-0CA1-467A-9D16-C06F42374712}"/>
            </a:ext>
          </a:extLst>
        </xdr:cNvPr>
        <xdr:cNvSpPr/>
      </xdr:nvSpPr>
      <xdr:spPr>
        <a:xfrm rot="10800000">
          <a:off x="5295900" y="74264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564</xdr:row>
      <xdr:rowOff>0</xdr:rowOff>
    </xdr:from>
    <xdr:to>
      <xdr:col>14</xdr:col>
      <xdr:colOff>83820</xdr:colOff>
      <xdr:row>564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F6DFDFC-C6A9-4CD6-B664-8BF3423CDB19}"/>
            </a:ext>
          </a:extLst>
        </xdr:cNvPr>
        <xdr:cNvSpPr/>
      </xdr:nvSpPr>
      <xdr:spPr>
        <a:xfrm>
          <a:off x="5295900" y="7481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563</xdr:row>
      <xdr:rowOff>0</xdr:rowOff>
    </xdr:from>
    <xdr:to>
      <xdr:col>14</xdr:col>
      <xdr:colOff>83820</xdr:colOff>
      <xdr:row>563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1CA5C61E-971A-4CDD-AFED-1E79CFB4D9CA}"/>
            </a:ext>
          </a:extLst>
        </xdr:cNvPr>
        <xdr:cNvSpPr/>
      </xdr:nvSpPr>
      <xdr:spPr>
        <a:xfrm rot="10800000">
          <a:off x="5295900" y="74813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562</xdr:row>
      <xdr:rowOff>0</xdr:rowOff>
    </xdr:from>
    <xdr:to>
      <xdr:col>14</xdr:col>
      <xdr:colOff>83820</xdr:colOff>
      <xdr:row>562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6C3FF36E-DBD7-42BE-B770-34A6C1664A8F}"/>
            </a:ext>
          </a:extLst>
        </xdr:cNvPr>
        <xdr:cNvSpPr/>
      </xdr:nvSpPr>
      <xdr:spPr>
        <a:xfrm rot="10800000">
          <a:off x="5295900" y="7463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565</xdr:row>
      <xdr:rowOff>0</xdr:rowOff>
    </xdr:from>
    <xdr:to>
      <xdr:col>14</xdr:col>
      <xdr:colOff>83820</xdr:colOff>
      <xdr:row>565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53B4CAC0-73F4-406B-AA1D-0F7AB8523B1F}"/>
            </a:ext>
          </a:extLst>
        </xdr:cNvPr>
        <xdr:cNvSpPr/>
      </xdr:nvSpPr>
      <xdr:spPr>
        <a:xfrm>
          <a:off x="5295900" y="7499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567</xdr:row>
      <xdr:rowOff>0</xdr:rowOff>
    </xdr:from>
    <xdr:to>
      <xdr:col>14</xdr:col>
      <xdr:colOff>83820</xdr:colOff>
      <xdr:row>567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563EEF1C-45CE-47D3-A6A3-4010CC4055B4}"/>
            </a:ext>
          </a:extLst>
        </xdr:cNvPr>
        <xdr:cNvSpPr/>
      </xdr:nvSpPr>
      <xdr:spPr>
        <a:xfrm>
          <a:off x="5295900" y="7536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569</xdr:row>
      <xdr:rowOff>0</xdr:rowOff>
    </xdr:from>
    <xdr:to>
      <xdr:col>14</xdr:col>
      <xdr:colOff>83820</xdr:colOff>
      <xdr:row>569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95672CFF-E58C-4E33-96D0-4448B4233F49}"/>
            </a:ext>
          </a:extLst>
        </xdr:cNvPr>
        <xdr:cNvSpPr/>
      </xdr:nvSpPr>
      <xdr:spPr>
        <a:xfrm>
          <a:off x="5295900" y="7572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566</xdr:row>
      <xdr:rowOff>0</xdr:rowOff>
    </xdr:from>
    <xdr:to>
      <xdr:col>14</xdr:col>
      <xdr:colOff>83820</xdr:colOff>
      <xdr:row>566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70815ED8-81EE-4955-8A36-B6FBA104903C}"/>
            </a:ext>
          </a:extLst>
        </xdr:cNvPr>
        <xdr:cNvSpPr/>
      </xdr:nvSpPr>
      <xdr:spPr>
        <a:xfrm rot="10800000">
          <a:off x="5295900" y="7536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570</xdr:row>
      <xdr:rowOff>0</xdr:rowOff>
    </xdr:from>
    <xdr:to>
      <xdr:col>14</xdr:col>
      <xdr:colOff>83820</xdr:colOff>
      <xdr:row>570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0DBD7C7B-225A-4CC0-83BA-A4B69A0911C2}"/>
            </a:ext>
          </a:extLst>
        </xdr:cNvPr>
        <xdr:cNvSpPr/>
      </xdr:nvSpPr>
      <xdr:spPr>
        <a:xfrm rot="10800000">
          <a:off x="5295900" y="76093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568</xdr:row>
      <xdr:rowOff>0</xdr:rowOff>
    </xdr:from>
    <xdr:to>
      <xdr:col>14</xdr:col>
      <xdr:colOff>83820</xdr:colOff>
      <xdr:row>568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3968AEC5-8CE7-4EA2-A9C7-17E8EF048022}"/>
            </a:ext>
          </a:extLst>
        </xdr:cNvPr>
        <xdr:cNvSpPr/>
      </xdr:nvSpPr>
      <xdr:spPr>
        <a:xfrm rot="10800000">
          <a:off x="5295900" y="7572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571</xdr:row>
      <xdr:rowOff>0</xdr:rowOff>
    </xdr:from>
    <xdr:to>
      <xdr:col>14</xdr:col>
      <xdr:colOff>83820</xdr:colOff>
      <xdr:row>571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068A6BAD-8F90-41DD-8636-FC59AB7EC5A4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572</xdr:row>
      <xdr:rowOff>0</xdr:rowOff>
    </xdr:from>
    <xdr:to>
      <xdr:col>14</xdr:col>
      <xdr:colOff>83820</xdr:colOff>
      <xdr:row>572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1F68711A-482A-4B23-8208-B76E7A54BF3C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574</xdr:row>
      <xdr:rowOff>0</xdr:rowOff>
    </xdr:from>
    <xdr:to>
      <xdr:col>14</xdr:col>
      <xdr:colOff>83820</xdr:colOff>
      <xdr:row>574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62718EDA-55E0-4415-A397-981C034B5B5A}"/>
            </a:ext>
          </a:extLst>
        </xdr:cNvPr>
        <xdr:cNvSpPr/>
      </xdr:nvSpPr>
      <xdr:spPr>
        <a:xfrm>
          <a:off x="5295900" y="7664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575</xdr:row>
      <xdr:rowOff>0</xdr:rowOff>
    </xdr:from>
    <xdr:to>
      <xdr:col>14</xdr:col>
      <xdr:colOff>83820</xdr:colOff>
      <xdr:row>575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6EA7F58C-2FA7-4D25-9636-FB40CB96C3BF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573</xdr:row>
      <xdr:rowOff>0</xdr:rowOff>
    </xdr:from>
    <xdr:to>
      <xdr:col>14</xdr:col>
      <xdr:colOff>83820</xdr:colOff>
      <xdr:row>573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0C1D1AA7-935B-4B5C-B1A4-F0ECBAC011BA}"/>
            </a:ext>
          </a:extLst>
        </xdr:cNvPr>
        <xdr:cNvSpPr/>
      </xdr:nvSpPr>
      <xdr:spPr>
        <a:xfrm rot="10800000">
          <a:off x="5295900" y="7664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576</xdr:row>
      <xdr:rowOff>0</xdr:rowOff>
    </xdr:from>
    <xdr:to>
      <xdr:col>14</xdr:col>
      <xdr:colOff>83820</xdr:colOff>
      <xdr:row>576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83873E91-AB6A-4EA5-9337-B56E3CE59071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577</xdr:row>
      <xdr:rowOff>0</xdr:rowOff>
    </xdr:from>
    <xdr:to>
      <xdr:col>14</xdr:col>
      <xdr:colOff>83820</xdr:colOff>
      <xdr:row>577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4B76C089-AAA5-452C-9041-76222745CC55}"/>
            </a:ext>
          </a:extLst>
        </xdr:cNvPr>
        <xdr:cNvSpPr/>
      </xdr:nvSpPr>
      <xdr:spPr>
        <a:xfrm rot="10800000">
          <a:off x="5295900" y="7719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578</xdr:row>
      <xdr:rowOff>0</xdr:rowOff>
    </xdr:from>
    <xdr:to>
      <xdr:col>14</xdr:col>
      <xdr:colOff>83820</xdr:colOff>
      <xdr:row>578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74E58C32-3498-449B-BEB3-E2097731D466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579</xdr:row>
      <xdr:rowOff>0</xdr:rowOff>
    </xdr:from>
    <xdr:to>
      <xdr:col>14</xdr:col>
      <xdr:colOff>83820</xdr:colOff>
      <xdr:row>579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964AFD05-CADB-49A1-AB3E-E0836572B14A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EEC65652-3D73-4953-A839-22A6F9042D8B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20EBA95B-A7AC-4C39-AAC6-096C6FEF2A49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580</xdr:row>
      <xdr:rowOff>0</xdr:rowOff>
    </xdr:from>
    <xdr:to>
      <xdr:col>14</xdr:col>
      <xdr:colOff>83820</xdr:colOff>
      <xdr:row>580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9FF419E4-6F38-4EBB-A5BD-3D3BEC6DEE6F}"/>
            </a:ext>
          </a:extLst>
        </xdr:cNvPr>
        <xdr:cNvSpPr/>
      </xdr:nvSpPr>
      <xdr:spPr>
        <a:xfrm rot="10800000">
          <a:off x="5295900" y="7792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582</xdr:row>
      <xdr:rowOff>0</xdr:rowOff>
    </xdr:from>
    <xdr:to>
      <xdr:col>14</xdr:col>
      <xdr:colOff>83820</xdr:colOff>
      <xdr:row>582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A49F2FD3-F955-406D-ADA4-5CE7F8D8438D}"/>
            </a:ext>
          </a:extLst>
        </xdr:cNvPr>
        <xdr:cNvSpPr/>
      </xdr:nvSpPr>
      <xdr:spPr>
        <a:xfrm rot="10800000">
          <a:off x="5295900" y="7828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584</xdr:row>
      <xdr:rowOff>0</xdr:rowOff>
    </xdr:from>
    <xdr:to>
      <xdr:col>14</xdr:col>
      <xdr:colOff>83820</xdr:colOff>
      <xdr:row>584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0480CA7A-B897-4B09-9064-DA1EF557842E}"/>
            </a:ext>
          </a:extLst>
        </xdr:cNvPr>
        <xdr:cNvSpPr/>
      </xdr:nvSpPr>
      <xdr:spPr>
        <a:xfrm rot="10800000">
          <a:off x="5295900" y="7847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583</xdr:row>
      <xdr:rowOff>0</xdr:rowOff>
    </xdr:from>
    <xdr:to>
      <xdr:col>14</xdr:col>
      <xdr:colOff>83820</xdr:colOff>
      <xdr:row>583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17C20B41-C884-42EE-AB24-93091C23F1B9}"/>
            </a:ext>
          </a:extLst>
        </xdr:cNvPr>
        <xdr:cNvSpPr/>
      </xdr:nvSpPr>
      <xdr:spPr>
        <a:xfrm>
          <a:off x="5295900" y="7847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585</xdr:row>
      <xdr:rowOff>0</xdr:rowOff>
    </xdr:from>
    <xdr:to>
      <xdr:col>14</xdr:col>
      <xdr:colOff>83820</xdr:colOff>
      <xdr:row>585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9AC9D10-ADE6-43E6-894F-0407C7BBEE5B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586</xdr:row>
      <xdr:rowOff>0</xdr:rowOff>
    </xdr:from>
    <xdr:to>
      <xdr:col>14</xdr:col>
      <xdr:colOff>83820</xdr:colOff>
      <xdr:row>586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ADBA24FC-33ED-44FB-A438-E5F52C8D9ABC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588</xdr:row>
      <xdr:rowOff>0</xdr:rowOff>
    </xdr:from>
    <xdr:to>
      <xdr:col>14</xdr:col>
      <xdr:colOff>83820</xdr:colOff>
      <xdr:row>588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637B942-CDF5-4430-9A25-FC9D1473DC9B}"/>
            </a:ext>
          </a:extLst>
        </xdr:cNvPr>
        <xdr:cNvSpPr/>
      </xdr:nvSpPr>
      <xdr:spPr>
        <a:xfrm>
          <a:off x="5295900" y="7920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587</xdr:row>
      <xdr:rowOff>0</xdr:rowOff>
    </xdr:from>
    <xdr:to>
      <xdr:col>14</xdr:col>
      <xdr:colOff>83820</xdr:colOff>
      <xdr:row>587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2BA3AC2C-29DB-417C-A67C-8C9A04905379}"/>
            </a:ext>
          </a:extLst>
        </xdr:cNvPr>
        <xdr:cNvSpPr/>
      </xdr:nvSpPr>
      <xdr:spPr>
        <a:xfrm rot="10800000">
          <a:off x="5295900" y="7920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589</xdr:row>
      <xdr:rowOff>0</xdr:rowOff>
    </xdr:from>
    <xdr:to>
      <xdr:col>14</xdr:col>
      <xdr:colOff>83820</xdr:colOff>
      <xdr:row>589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E81281B-D4C4-4122-8BB2-71FA60D65DA7}"/>
            </a:ext>
          </a:extLst>
        </xdr:cNvPr>
        <xdr:cNvSpPr/>
      </xdr:nvSpPr>
      <xdr:spPr>
        <a:xfrm rot="10800000">
          <a:off x="5295900" y="7956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590</xdr:row>
      <xdr:rowOff>0</xdr:rowOff>
    </xdr:from>
    <xdr:to>
      <xdr:col>14</xdr:col>
      <xdr:colOff>83820</xdr:colOff>
      <xdr:row>590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749A4FFE-E76F-4275-A280-21CE8D8D06F2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591</xdr:row>
      <xdr:rowOff>0</xdr:rowOff>
    </xdr:from>
    <xdr:to>
      <xdr:col>14</xdr:col>
      <xdr:colOff>83820</xdr:colOff>
      <xdr:row>591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1DC8CEB2-8D1D-4CBC-A15B-1240502200DD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592</xdr:row>
      <xdr:rowOff>0</xdr:rowOff>
    </xdr:from>
    <xdr:to>
      <xdr:col>14</xdr:col>
      <xdr:colOff>83820</xdr:colOff>
      <xdr:row>592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11B8C3ED-EC8D-473E-905E-A0DBC5D8FE82}"/>
            </a:ext>
          </a:extLst>
        </xdr:cNvPr>
        <xdr:cNvSpPr/>
      </xdr:nvSpPr>
      <xdr:spPr>
        <a:xfrm>
          <a:off x="5295900" y="7993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593</xdr:row>
      <xdr:rowOff>0</xdr:rowOff>
    </xdr:from>
    <xdr:to>
      <xdr:col>14</xdr:col>
      <xdr:colOff>83820</xdr:colOff>
      <xdr:row>593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505717EB-D5A2-42C7-8B42-7595E33957A6}"/>
            </a:ext>
          </a:extLst>
        </xdr:cNvPr>
        <xdr:cNvSpPr/>
      </xdr:nvSpPr>
      <xdr:spPr>
        <a:xfrm>
          <a:off x="5295900" y="8011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594</xdr:row>
      <xdr:rowOff>0</xdr:rowOff>
    </xdr:from>
    <xdr:to>
      <xdr:col>14</xdr:col>
      <xdr:colOff>83820</xdr:colOff>
      <xdr:row>594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DFDC6F1C-5EB8-4643-8E43-DAE14EED5E8A}"/>
            </a:ext>
          </a:extLst>
        </xdr:cNvPr>
        <xdr:cNvSpPr/>
      </xdr:nvSpPr>
      <xdr:spPr>
        <a:xfrm rot="10800000">
          <a:off x="5295900" y="8048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595</xdr:row>
      <xdr:rowOff>0</xdr:rowOff>
    </xdr:from>
    <xdr:to>
      <xdr:col>14</xdr:col>
      <xdr:colOff>83820</xdr:colOff>
      <xdr:row>595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B099C336-98D6-48ED-ADC4-E384285A9FA3}"/>
            </a:ext>
          </a:extLst>
        </xdr:cNvPr>
        <xdr:cNvSpPr/>
      </xdr:nvSpPr>
      <xdr:spPr>
        <a:xfrm>
          <a:off x="5295900" y="8066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596</xdr:row>
      <xdr:rowOff>0</xdr:rowOff>
    </xdr:from>
    <xdr:to>
      <xdr:col>14</xdr:col>
      <xdr:colOff>83820</xdr:colOff>
      <xdr:row>596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43DC069F-201F-433C-B217-6D5EF77A4D92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597</xdr:row>
      <xdr:rowOff>0</xdr:rowOff>
    </xdr:from>
    <xdr:to>
      <xdr:col>14</xdr:col>
      <xdr:colOff>83820</xdr:colOff>
      <xdr:row>597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B30E8DF5-75EA-4E4F-8C48-71AFDBE1D00B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598</xdr:row>
      <xdr:rowOff>0</xdr:rowOff>
    </xdr:from>
    <xdr:to>
      <xdr:col>14</xdr:col>
      <xdr:colOff>83820</xdr:colOff>
      <xdr:row>598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A360DE2A-A1E0-4AD6-B660-B8D28B1ACB93}"/>
            </a:ext>
          </a:extLst>
        </xdr:cNvPr>
        <xdr:cNvSpPr/>
      </xdr:nvSpPr>
      <xdr:spPr>
        <a:xfrm rot="10800000">
          <a:off x="5372100" y="8103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599</xdr:row>
      <xdr:rowOff>0</xdr:rowOff>
    </xdr:from>
    <xdr:to>
      <xdr:col>14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3BF4848F-349B-4154-B1F5-565018FC1446}"/>
            </a:ext>
          </a:extLst>
        </xdr:cNvPr>
        <xdr:cNvSpPr/>
      </xdr:nvSpPr>
      <xdr:spPr>
        <a:xfrm>
          <a:off x="5372100" y="813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600</xdr:row>
      <xdr:rowOff>0</xdr:rowOff>
    </xdr:from>
    <xdr:to>
      <xdr:col>14</xdr:col>
      <xdr:colOff>83820</xdr:colOff>
      <xdr:row>600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9D6E26D5-678B-4960-8C32-F044AF84E67F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601</xdr:row>
      <xdr:rowOff>0</xdr:rowOff>
    </xdr:from>
    <xdr:to>
      <xdr:col>14</xdr:col>
      <xdr:colOff>83820</xdr:colOff>
      <xdr:row>601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8C3FEE1F-43F7-499F-A50F-C035AC2D7FC8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602</xdr:row>
      <xdr:rowOff>0</xdr:rowOff>
    </xdr:from>
    <xdr:to>
      <xdr:col>14</xdr:col>
      <xdr:colOff>83820</xdr:colOff>
      <xdr:row>602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FC993231-1638-4774-92F0-53C8ACDFB7A0}"/>
            </a:ext>
          </a:extLst>
        </xdr:cNvPr>
        <xdr:cNvSpPr/>
      </xdr:nvSpPr>
      <xdr:spPr>
        <a:xfrm>
          <a:off x="5372100" y="8176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603</xdr:row>
      <xdr:rowOff>0</xdr:rowOff>
    </xdr:from>
    <xdr:to>
      <xdr:col>14</xdr:col>
      <xdr:colOff>83820</xdr:colOff>
      <xdr:row>603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F8C36FA9-154A-4FED-A166-8AC6A607407B}"/>
            </a:ext>
          </a:extLst>
        </xdr:cNvPr>
        <xdr:cNvSpPr/>
      </xdr:nvSpPr>
      <xdr:spPr>
        <a:xfrm>
          <a:off x="5372100" y="8194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605</xdr:row>
      <xdr:rowOff>0</xdr:rowOff>
    </xdr:from>
    <xdr:to>
      <xdr:col>14</xdr:col>
      <xdr:colOff>83820</xdr:colOff>
      <xdr:row>605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79C998D0-07F4-4389-A3AF-6B0D7987F9A8}"/>
            </a:ext>
          </a:extLst>
        </xdr:cNvPr>
        <xdr:cNvSpPr/>
      </xdr:nvSpPr>
      <xdr:spPr>
        <a:xfrm>
          <a:off x="5372100" y="8231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606</xdr:row>
      <xdr:rowOff>0</xdr:rowOff>
    </xdr:from>
    <xdr:to>
      <xdr:col>14</xdr:col>
      <xdr:colOff>83820</xdr:colOff>
      <xdr:row>606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2D714A8E-B30E-41BD-BB70-2D0B095694CF}"/>
            </a:ext>
          </a:extLst>
        </xdr:cNvPr>
        <xdr:cNvSpPr/>
      </xdr:nvSpPr>
      <xdr:spPr>
        <a:xfrm>
          <a:off x="5372100" y="8249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607</xdr:row>
      <xdr:rowOff>0</xdr:rowOff>
    </xdr:from>
    <xdr:to>
      <xdr:col>14</xdr:col>
      <xdr:colOff>83820</xdr:colOff>
      <xdr:row>607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A6818E1C-98F1-4650-8AB9-F79155B0EF76}"/>
            </a:ext>
          </a:extLst>
        </xdr:cNvPr>
        <xdr:cNvSpPr/>
      </xdr:nvSpPr>
      <xdr:spPr>
        <a:xfrm>
          <a:off x="5372100" y="8267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604</xdr:row>
      <xdr:rowOff>0</xdr:rowOff>
    </xdr:from>
    <xdr:to>
      <xdr:col>14</xdr:col>
      <xdr:colOff>83820</xdr:colOff>
      <xdr:row>604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43D18672-05C9-4182-BCBC-B616C86D90A3}"/>
            </a:ext>
          </a:extLst>
        </xdr:cNvPr>
        <xdr:cNvSpPr/>
      </xdr:nvSpPr>
      <xdr:spPr>
        <a:xfrm rot="10800000">
          <a:off x="5372100" y="8231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609</xdr:row>
      <xdr:rowOff>0</xdr:rowOff>
    </xdr:from>
    <xdr:to>
      <xdr:col>14</xdr:col>
      <xdr:colOff>83820</xdr:colOff>
      <xdr:row>609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CBB004CB-8BB7-4B87-AAC9-C9033F7C303F}"/>
            </a:ext>
          </a:extLst>
        </xdr:cNvPr>
        <xdr:cNvSpPr/>
      </xdr:nvSpPr>
      <xdr:spPr>
        <a:xfrm>
          <a:off x="5372100" y="8304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610</xdr:row>
      <xdr:rowOff>0</xdr:rowOff>
    </xdr:from>
    <xdr:to>
      <xdr:col>14</xdr:col>
      <xdr:colOff>83820</xdr:colOff>
      <xdr:row>610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CCD910C9-8DF3-4578-8BF3-10CF3D13F486}"/>
            </a:ext>
          </a:extLst>
        </xdr:cNvPr>
        <xdr:cNvSpPr/>
      </xdr:nvSpPr>
      <xdr:spPr>
        <a:xfrm rot="10800000">
          <a:off x="5372100" y="8340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608</xdr:row>
      <xdr:rowOff>0</xdr:rowOff>
    </xdr:from>
    <xdr:to>
      <xdr:col>14</xdr:col>
      <xdr:colOff>83820</xdr:colOff>
      <xdr:row>608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C4969660-AD65-441D-82A7-555C2B8EDE54}"/>
            </a:ext>
          </a:extLst>
        </xdr:cNvPr>
        <xdr:cNvSpPr/>
      </xdr:nvSpPr>
      <xdr:spPr>
        <a:xfrm rot="10800000">
          <a:off x="5372100" y="8304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611</xdr:row>
      <xdr:rowOff>0</xdr:rowOff>
    </xdr:from>
    <xdr:to>
      <xdr:col>14</xdr:col>
      <xdr:colOff>83820</xdr:colOff>
      <xdr:row>611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0A1CC205-51F0-4EC8-B0EC-65A880648269}"/>
            </a:ext>
          </a:extLst>
        </xdr:cNvPr>
        <xdr:cNvSpPr/>
      </xdr:nvSpPr>
      <xdr:spPr>
        <a:xfrm rot="10800000">
          <a:off x="5372100" y="8359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612</xdr:row>
      <xdr:rowOff>0</xdr:rowOff>
    </xdr:from>
    <xdr:to>
      <xdr:col>14</xdr:col>
      <xdr:colOff>83820</xdr:colOff>
      <xdr:row>612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8133B099-D053-43B7-B79A-0AE6933A0F8C}"/>
            </a:ext>
          </a:extLst>
        </xdr:cNvPr>
        <xdr:cNvSpPr/>
      </xdr:nvSpPr>
      <xdr:spPr>
        <a:xfrm>
          <a:off x="5372100" y="8377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613</xdr:row>
      <xdr:rowOff>0</xdr:rowOff>
    </xdr:from>
    <xdr:to>
      <xdr:col>14</xdr:col>
      <xdr:colOff>83820</xdr:colOff>
      <xdr:row>613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E05755B2-4343-4FE9-9C34-A893E6425690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614</xdr:row>
      <xdr:rowOff>0</xdr:rowOff>
    </xdr:from>
    <xdr:to>
      <xdr:col>14</xdr:col>
      <xdr:colOff>83820</xdr:colOff>
      <xdr:row>614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8E8EA494-7B21-495E-915E-965F8BBAD515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615</xdr:row>
      <xdr:rowOff>0</xdr:rowOff>
    </xdr:from>
    <xdr:to>
      <xdr:col>14</xdr:col>
      <xdr:colOff>83820</xdr:colOff>
      <xdr:row>615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B0B9A976-C6A6-4758-A724-1B13A12C6F31}"/>
            </a:ext>
          </a:extLst>
        </xdr:cNvPr>
        <xdr:cNvSpPr/>
      </xdr:nvSpPr>
      <xdr:spPr>
        <a:xfrm rot="10800000">
          <a:off x="5372100" y="8432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617</xdr:row>
      <xdr:rowOff>0</xdr:rowOff>
    </xdr:from>
    <xdr:to>
      <xdr:col>14</xdr:col>
      <xdr:colOff>83820</xdr:colOff>
      <xdr:row>617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0F27E518-EAA6-4BE0-B350-72174E54E41D}"/>
            </a:ext>
          </a:extLst>
        </xdr:cNvPr>
        <xdr:cNvSpPr/>
      </xdr:nvSpPr>
      <xdr:spPr>
        <a:xfrm rot="10800000">
          <a:off x="5372100" y="8450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616</xdr:row>
      <xdr:rowOff>0</xdr:rowOff>
    </xdr:from>
    <xdr:to>
      <xdr:col>14</xdr:col>
      <xdr:colOff>83820</xdr:colOff>
      <xdr:row>616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3CFEFF73-271D-4F2D-A1AF-5A142D1B0AB1}"/>
            </a:ext>
          </a:extLst>
        </xdr:cNvPr>
        <xdr:cNvSpPr/>
      </xdr:nvSpPr>
      <xdr:spPr>
        <a:xfrm>
          <a:off x="5372100" y="8450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618</xdr:row>
      <xdr:rowOff>0</xdr:rowOff>
    </xdr:from>
    <xdr:to>
      <xdr:col>14</xdr:col>
      <xdr:colOff>83820</xdr:colOff>
      <xdr:row>618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AA5CAE8D-BC47-4917-AF17-00E57FD3076C}"/>
            </a:ext>
          </a:extLst>
        </xdr:cNvPr>
        <xdr:cNvSpPr/>
      </xdr:nvSpPr>
      <xdr:spPr>
        <a:xfrm rot="10800000">
          <a:off x="5372100" y="8468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619</xdr:row>
      <xdr:rowOff>0</xdr:rowOff>
    </xdr:from>
    <xdr:to>
      <xdr:col>14</xdr:col>
      <xdr:colOff>83820</xdr:colOff>
      <xdr:row>619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AB8CE5D6-6919-43BE-8B82-0FF7DF56F08C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620</xdr:row>
      <xdr:rowOff>0</xdr:rowOff>
    </xdr:from>
    <xdr:to>
      <xdr:col>14</xdr:col>
      <xdr:colOff>83820</xdr:colOff>
      <xdr:row>620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2208E8AA-C49F-451F-BCA7-B7F597F49A7D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621</xdr:row>
      <xdr:rowOff>0</xdr:rowOff>
    </xdr:from>
    <xdr:to>
      <xdr:col>14</xdr:col>
      <xdr:colOff>83820</xdr:colOff>
      <xdr:row>621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1A0973C5-30C0-4DA3-925B-6C019EABDA2F}"/>
            </a:ext>
          </a:extLst>
        </xdr:cNvPr>
        <xdr:cNvSpPr/>
      </xdr:nvSpPr>
      <xdr:spPr>
        <a:xfrm rot="10800000">
          <a:off x="5372100" y="8542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622</xdr:row>
      <xdr:rowOff>0</xdr:rowOff>
    </xdr:from>
    <xdr:to>
      <xdr:col>14</xdr:col>
      <xdr:colOff>83820</xdr:colOff>
      <xdr:row>622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F1C3D07E-D4F3-4D72-B8E5-1408DFA62CD9}"/>
            </a:ext>
          </a:extLst>
        </xdr:cNvPr>
        <xdr:cNvSpPr/>
      </xdr:nvSpPr>
      <xdr:spPr>
        <a:xfrm>
          <a:off x="5372100" y="8560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623</xdr:row>
      <xdr:rowOff>0</xdr:rowOff>
    </xdr:from>
    <xdr:to>
      <xdr:col>14</xdr:col>
      <xdr:colOff>83820</xdr:colOff>
      <xdr:row>623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2441540F-C9C7-446D-A144-1E256779ECDC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624</xdr:row>
      <xdr:rowOff>0</xdr:rowOff>
    </xdr:from>
    <xdr:to>
      <xdr:col>14</xdr:col>
      <xdr:colOff>83820</xdr:colOff>
      <xdr:row>624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580FC1FB-0F4D-4272-A1F3-4B521E94D0A9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625</xdr:row>
      <xdr:rowOff>0</xdr:rowOff>
    </xdr:from>
    <xdr:to>
      <xdr:col>14</xdr:col>
      <xdr:colOff>83820</xdr:colOff>
      <xdr:row>625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4213F025-11FA-4A8C-9675-E365D2CB6FE3}"/>
            </a:ext>
          </a:extLst>
        </xdr:cNvPr>
        <xdr:cNvSpPr/>
      </xdr:nvSpPr>
      <xdr:spPr>
        <a:xfrm rot="10800000">
          <a:off x="5372100" y="8596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626</xdr:row>
      <xdr:rowOff>0</xdr:rowOff>
    </xdr:from>
    <xdr:to>
      <xdr:col>14</xdr:col>
      <xdr:colOff>83820</xdr:colOff>
      <xdr:row>626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8B1C2336-EA22-4E87-BF70-9E317CAEE750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627</xdr:row>
      <xdr:rowOff>0</xdr:rowOff>
    </xdr:from>
    <xdr:to>
      <xdr:col>14</xdr:col>
      <xdr:colOff>83820</xdr:colOff>
      <xdr:row>627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7E461D0C-9214-401F-94F2-4A9BD88E15D9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628</xdr:row>
      <xdr:rowOff>0</xdr:rowOff>
    </xdr:from>
    <xdr:to>
      <xdr:col>14</xdr:col>
      <xdr:colOff>83820</xdr:colOff>
      <xdr:row>628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53C8F7A7-42D6-4A75-AC74-32BF7D84F261}"/>
            </a:ext>
          </a:extLst>
        </xdr:cNvPr>
        <xdr:cNvSpPr/>
      </xdr:nvSpPr>
      <xdr:spPr>
        <a:xfrm>
          <a:off x="5372100" y="86517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629</xdr:row>
      <xdr:rowOff>0</xdr:rowOff>
    </xdr:from>
    <xdr:to>
      <xdr:col>14</xdr:col>
      <xdr:colOff>83820</xdr:colOff>
      <xdr:row>629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B2CCCA91-7E30-47F3-8C7A-3B5FDF92744B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630</xdr:row>
      <xdr:rowOff>0</xdr:rowOff>
    </xdr:from>
    <xdr:to>
      <xdr:col>14</xdr:col>
      <xdr:colOff>83820</xdr:colOff>
      <xdr:row>630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EB096F1A-680C-4977-86CD-8A772AF564B2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631</xdr:row>
      <xdr:rowOff>0</xdr:rowOff>
    </xdr:from>
    <xdr:to>
      <xdr:col>14</xdr:col>
      <xdr:colOff>83820</xdr:colOff>
      <xdr:row>631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EC82BFE5-2364-4EAD-9A1E-A70D0472F3CE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632</xdr:row>
      <xdr:rowOff>0</xdr:rowOff>
    </xdr:from>
    <xdr:to>
      <xdr:col>14</xdr:col>
      <xdr:colOff>83820</xdr:colOff>
      <xdr:row>632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6646B542-973D-4796-8DE1-FE03BBDF6D54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633</xdr:row>
      <xdr:rowOff>0</xdr:rowOff>
    </xdr:from>
    <xdr:to>
      <xdr:col>14</xdr:col>
      <xdr:colOff>83820</xdr:colOff>
      <xdr:row>633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FFE2ADF6-5AC4-40EA-B4C6-284CDFB7E19B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634</xdr:row>
      <xdr:rowOff>0</xdr:rowOff>
    </xdr:from>
    <xdr:to>
      <xdr:col>14</xdr:col>
      <xdr:colOff>83820</xdr:colOff>
      <xdr:row>634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66CCEB5F-BCEA-4510-85B4-EDA44C8D8DCA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635</xdr:row>
      <xdr:rowOff>0</xdr:rowOff>
    </xdr:from>
    <xdr:to>
      <xdr:col>14</xdr:col>
      <xdr:colOff>83820</xdr:colOff>
      <xdr:row>635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8D712519-5333-4AC3-A715-B07C7C9ACABC}"/>
            </a:ext>
          </a:extLst>
        </xdr:cNvPr>
        <xdr:cNvSpPr/>
      </xdr:nvSpPr>
      <xdr:spPr>
        <a:xfrm>
          <a:off x="5372100" y="8798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637</xdr:row>
      <xdr:rowOff>0</xdr:rowOff>
    </xdr:from>
    <xdr:to>
      <xdr:col>14</xdr:col>
      <xdr:colOff>83820</xdr:colOff>
      <xdr:row>637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5474909-8FE7-4958-BAD1-F1FEC239F23B}"/>
            </a:ext>
          </a:extLst>
        </xdr:cNvPr>
        <xdr:cNvSpPr/>
      </xdr:nvSpPr>
      <xdr:spPr>
        <a:xfrm>
          <a:off x="5372100" y="8816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636</xdr:row>
      <xdr:rowOff>0</xdr:rowOff>
    </xdr:from>
    <xdr:to>
      <xdr:col>14</xdr:col>
      <xdr:colOff>83820</xdr:colOff>
      <xdr:row>636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A02483F9-25A7-4C41-A6BC-D00A03814AD4}"/>
            </a:ext>
          </a:extLst>
        </xdr:cNvPr>
        <xdr:cNvSpPr/>
      </xdr:nvSpPr>
      <xdr:spPr>
        <a:xfrm rot="10800000">
          <a:off x="5372100" y="8816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638</xdr:row>
      <xdr:rowOff>0</xdr:rowOff>
    </xdr:from>
    <xdr:to>
      <xdr:col>14</xdr:col>
      <xdr:colOff>83820</xdr:colOff>
      <xdr:row>638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4FE07F7C-EA41-44B6-8FC8-B9B38462B3A0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639</xdr:row>
      <xdr:rowOff>0</xdr:rowOff>
    </xdr:from>
    <xdr:to>
      <xdr:col>14</xdr:col>
      <xdr:colOff>83820</xdr:colOff>
      <xdr:row>639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BF92F2CD-1119-482E-9A51-529779DB5E9E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640</xdr:row>
      <xdr:rowOff>0</xdr:rowOff>
    </xdr:from>
    <xdr:to>
      <xdr:col>14</xdr:col>
      <xdr:colOff>83820</xdr:colOff>
      <xdr:row>640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A2A176EB-2325-4B49-B0D6-F4AACAB5E1C9}"/>
            </a:ext>
          </a:extLst>
        </xdr:cNvPr>
        <xdr:cNvSpPr/>
      </xdr:nvSpPr>
      <xdr:spPr>
        <a:xfrm rot="10800000">
          <a:off x="5372100" y="8871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641</xdr:row>
      <xdr:rowOff>0</xdr:rowOff>
    </xdr:from>
    <xdr:to>
      <xdr:col>14</xdr:col>
      <xdr:colOff>83820</xdr:colOff>
      <xdr:row>641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92CE7AB9-D30E-4C24-AA4F-E5758E4BDB7F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642</xdr:row>
      <xdr:rowOff>0</xdr:rowOff>
    </xdr:from>
    <xdr:to>
      <xdr:col>14</xdr:col>
      <xdr:colOff>83820</xdr:colOff>
      <xdr:row>642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5D0383B9-D5F0-4D43-8D7C-358D693D76E5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643</xdr:row>
      <xdr:rowOff>0</xdr:rowOff>
    </xdr:from>
    <xdr:to>
      <xdr:col>14</xdr:col>
      <xdr:colOff>83820</xdr:colOff>
      <xdr:row>643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1CED6C9F-DA7D-4E85-A440-8D74ACB74ED1}"/>
            </a:ext>
          </a:extLst>
        </xdr:cNvPr>
        <xdr:cNvSpPr/>
      </xdr:nvSpPr>
      <xdr:spPr>
        <a:xfrm rot="10800000">
          <a:off x="5372100" y="89443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644</xdr:row>
      <xdr:rowOff>0</xdr:rowOff>
    </xdr:from>
    <xdr:to>
      <xdr:col>14</xdr:col>
      <xdr:colOff>83820</xdr:colOff>
      <xdr:row>644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51D6538B-DEFC-4C63-B32F-0662740153BD}"/>
            </a:ext>
          </a:extLst>
        </xdr:cNvPr>
        <xdr:cNvSpPr/>
      </xdr:nvSpPr>
      <xdr:spPr>
        <a:xfrm>
          <a:off x="5372100" y="8962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645</xdr:row>
      <xdr:rowOff>0</xdr:rowOff>
    </xdr:from>
    <xdr:to>
      <xdr:col>14</xdr:col>
      <xdr:colOff>83820</xdr:colOff>
      <xdr:row>645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61636551-8239-4BF5-802D-FA9BE87CCE51}"/>
            </a:ext>
          </a:extLst>
        </xdr:cNvPr>
        <xdr:cNvSpPr/>
      </xdr:nvSpPr>
      <xdr:spPr>
        <a:xfrm>
          <a:off x="5372100" y="8980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648</xdr:row>
      <xdr:rowOff>0</xdr:rowOff>
    </xdr:from>
    <xdr:to>
      <xdr:col>14</xdr:col>
      <xdr:colOff>83820</xdr:colOff>
      <xdr:row>648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A41D5E31-4121-41CD-A861-FE1A6779AB8F}"/>
            </a:ext>
          </a:extLst>
        </xdr:cNvPr>
        <xdr:cNvSpPr/>
      </xdr:nvSpPr>
      <xdr:spPr>
        <a:xfrm>
          <a:off x="5372100" y="9017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646</xdr:row>
      <xdr:rowOff>0</xdr:rowOff>
    </xdr:from>
    <xdr:to>
      <xdr:col>14</xdr:col>
      <xdr:colOff>83820</xdr:colOff>
      <xdr:row>646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A3CCA5EE-07A5-454E-897A-BF4F8354C320}"/>
            </a:ext>
          </a:extLst>
        </xdr:cNvPr>
        <xdr:cNvSpPr/>
      </xdr:nvSpPr>
      <xdr:spPr>
        <a:xfrm rot="10800000">
          <a:off x="5372100" y="89992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649</xdr:row>
      <xdr:rowOff>0</xdr:rowOff>
    </xdr:from>
    <xdr:to>
      <xdr:col>14</xdr:col>
      <xdr:colOff>83820</xdr:colOff>
      <xdr:row>649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CE47236A-F4FE-4B03-A75B-E836662B9C23}"/>
            </a:ext>
          </a:extLst>
        </xdr:cNvPr>
        <xdr:cNvSpPr/>
      </xdr:nvSpPr>
      <xdr:spPr>
        <a:xfrm rot="10800000">
          <a:off x="5372100" y="90540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647</xdr:row>
      <xdr:rowOff>0</xdr:rowOff>
    </xdr:from>
    <xdr:to>
      <xdr:col>14</xdr:col>
      <xdr:colOff>83820</xdr:colOff>
      <xdr:row>647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75DD79F6-44FA-4F4C-B6E7-EBCD2D3160F9}"/>
            </a:ext>
          </a:extLst>
        </xdr:cNvPr>
        <xdr:cNvSpPr/>
      </xdr:nvSpPr>
      <xdr:spPr>
        <a:xfrm rot="10800000">
          <a:off x="5372100" y="9017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650</xdr:row>
      <xdr:rowOff>0</xdr:rowOff>
    </xdr:from>
    <xdr:to>
      <xdr:col>14</xdr:col>
      <xdr:colOff>83820</xdr:colOff>
      <xdr:row>650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4FCF42DB-D357-4CAB-B56B-D96966925F1A}"/>
            </a:ext>
          </a:extLst>
        </xdr:cNvPr>
        <xdr:cNvSpPr/>
      </xdr:nvSpPr>
      <xdr:spPr>
        <a:xfrm rot="10800000">
          <a:off x="5372100" y="90540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651</xdr:row>
      <xdr:rowOff>0</xdr:rowOff>
    </xdr:from>
    <xdr:to>
      <xdr:col>14</xdr:col>
      <xdr:colOff>83820</xdr:colOff>
      <xdr:row>651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059CBC50-3B2C-468D-AB39-3AD37A02F65F}"/>
            </a:ext>
          </a:extLst>
        </xdr:cNvPr>
        <xdr:cNvSpPr/>
      </xdr:nvSpPr>
      <xdr:spPr>
        <a:xfrm rot="10800000">
          <a:off x="5372100" y="9072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652</xdr:row>
      <xdr:rowOff>0</xdr:rowOff>
    </xdr:from>
    <xdr:to>
      <xdr:col>14</xdr:col>
      <xdr:colOff>83820</xdr:colOff>
      <xdr:row>652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857C1F5C-3A12-4167-8DDF-8B39DB30FCE3}"/>
            </a:ext>
          </a:extLst>
        </xdr:cNvPr>
        <xdr:cNvSpPr/>
      </xdr:nvSpPr>
      <xdr:spPr>
        <a:xfrm rot="10800000">
          <a:off x="5372100" y="9090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653</xdr:row>
      <xdr:rowOff>0</xdr:rowOff>
    </xdr:from>
    <xdr:to>
      <xdr:col>14</xdr:col>
      <xdr:colOff>83820</xdr:colOff>
      <xdr:row>653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BAB76D32-F9E8-4B79-9143-56CF6FA40F1C}"/>
            </a:ext>
          </a:extLst>
        </xdr:cNvPr>
        <xdr:cNvSpPr/>
      </xdr:nvSpPr>
      <xdr:spPr>
        <a:xfrm rot="10800000">
          <a:off x="5372100" y="9108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656</xdr:row>
      <xdr:rowOff>0</xdr:rowOff>
    </xdr:from>
    <xdr:to>
      <xdr:col>14</xdr:col>
      <xdr:colOff>83820</xdr:colOff>
      <xdr:row>656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3B213BFF-2309-4FA7-83DA-67A511990B9C}"/>
            </a:ext>
          </a:extLst>
        </xdr:cNvPr>
        <xdr:cNvSpPr/>
      </xdr:nvSpPr>
      <xdr:spPr>
        <a:xfrm rot="10800000">
          <a:off x="5372100" y="9163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655</xdr:row>
      <xdr:rowOff>0</xdr:rowOff>
    </xdr:from>
    <xdr:to>
      <xdr:col>14</xdr:col>
      <xdr:colOff>83820</xdr:colOff>
      <xdr:row>655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411143C3-E5B6-4B27-89E3-2A7B4E1F9767}"/>
            </a:ext>
          </a:extLst>
        </xdr:cNvPr>
        <xdr:cNvSpPr/>
      </xdr:nvSpPr>
      <xdr:spPr>
        <a:xfrm>
          <a:off x="5372100" y="91638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654</xdr:row>
      <xdr:rowOff>0</xdr:rowOff>
    </xdr:from>
    <xdr:to>
      <xdr:col>14</xdr:col>
      <xdr:colOff>83820</xdr:colOff>
      <xdr:row>654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646FED20-20AA-4AC0-9768-796783A93D67}"/>
            </a:ext>
          </a:extLst>
        </xdr:cNvPr>
        <xdr:cNvSpPr/>
      </xdr:nvSpPr>
      <xdr:spPr>
        <a:xfrm>
          <a:off x="5372100" y="9145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658</xdr:row>
      <xdr:rowOff>0</xdr:rowOff>
    </xdr:from>
    <xdr:to>
      <xdr:col>14</xdr:col>
      <xdr:colOff>83820</xdr:colOff>
      <xdr:row>658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CCFC5596-6060-44CF-A284-CACE90010C5F}"/>
            </a:ext>
          </a:extLst>
        </xdr:cNvPr>
        <xdr:cNvSpPr/>
      </xdr:nvSpPr>
      <xdr:spPr>
        <a:xfrm rot="10800000">
          <a:off x="5372100" y="9200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657</xdr:row>
      <xdr:rowOff>0</xdr:rowOff>
    </xdr:from>
    <xdr:to>
      <xdr:col>14</xdr:col>
      <xdr:colOff>83820</xdr:colOff>
      <xdr:row>657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3770B470-9934-4AB6-9D19-554B7DE05E17}"/>
            </a:ext>
          </a:extLst>
        </xdr:cNvPr>
        <xdr:cNvSpPr/>
      </xdr:nvSpPr>
      <xdr:spPr>
        <a:xfrm>
          <a:off x="5372100" y="9200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659</xdr:row>
      <xdr:rowOff>0</xdr:rowOff>
    </xdr:from>
    <xdr:to>
      <xdr:col>14</xdr:col>
      <xdr:colOff>83820</xdr:colOff>
      <xdr:row>659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B5759C72-3678-4D3F-A108-ADAA788FB058}"/>
            </a:ext>
          </a:extLst>
        </xdr:cNvPr>
        <xdr:cNvSpPr/>
      </xdr:nvSpPr>
      <xdr:spPr>
        <a:xfrm rot="10800000">
          <a:off x="5372100" y="9218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660</xdr:row>
      <xdr:rowOff>0</xdr:rowOff>
    </xdr:from>
    <xdr:to>
      <xdr:col>14</xdr:col>
      <xdr:colOff>83820</xdr:colOff>
      <xdr:row>660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CF9B889E-64A1-40A1-9B2C-234DE3060A83}"/>
            </a:ext>
          </a:extLst>
        </xdr:cNvPr>
        <xdr:cNvSpPr/>
      </xdr:nvSpPr>
      <xdr:spPr>
        <a:xfrm>
          <a:off x="5372100" y="9255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661</xdr:row>
      <xdr:rowOff>0</xdr:rowOff>
    </xdr:from>
    <xdr:to>
      <xdr:col>14</xdr:col>
      <xdr:colOff>83820</xdr:colOff>
      <xdr:row>661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FCCAA75A-5860-450E-AEF4-EC5B9A4FF60B}"/>
            </a:ext>
          </a:extLst>
        </xdr:cNvPr>
        <xdr:cNvSpPr/>
      </xdr:nvSpPr>
      <xdr:spPr>
        <a:xfrm>
          <a:off x="5372100" y="9273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662</xdr:row>
      <xdr:rowOff>0</xdr:rowOff>
    </xdr:from>
    <xdr:to>
      <xdr:col>14</xdr:col>
      <xdr:colOff>83820</xdr:colOff>
      <xdr:row>662</xdr:row>
      <xdr:rowOff>114300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9B5D085A-EF2E-4BFB-8EAB-8C3ABC202AC6}"/>
            </a:ext>
          </a:extLst>
        </xdr:cNvPr>
        <xdr:cNvSpPr/>
      </xdr:nvSpPr>
      <xdr:spPr>
        <a:xfrm>
          <a:off x="5372100" y="9273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663</xdr:row>
      <xdr:rowOff>0</xdr:rowOff>
    </xdr:from>
    <xdr:to>
      <xdr:col>14</xdr:col>
      <xdr:colOff>83820</xdr:colOff>
      <xdr:row>663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9349C8B3-09D1-4D85-BEB0-BFF7629E4EAC}"/>
            </a:ext>
          </a:extLst>
        </xdr:cNvPr>
        <xdr:cNvSpPr/>
      </xdr:nvSpPr>
      <xdr:spPr>
        <a:xfrm>
          <a:off x="5372100" y="9291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664</xdr:row>
      <xdr:rowOff>0</xdr:rowOff>
    </xdr:from>
    <xdr:to>
      <xdr:col>14</xdr:col>
      <xdr:colOff>83820</xdr:colOff>
      <xdr:row>664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9F459589-5764-4EC2-BBD4-1D3F505CF330}"/>
            </a:ext>
          </a:extLst>
        </xdr:cNvPr>
        <xdr:cNvSpPr/>
      </xdr:nvSpPr>
      <xdr:spPr>
        <a:xfrm rot="10800000">
          <a:off x="5372100" y="9328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665</xdr:row>
      <xdr:rowOff>0</xdr:rowOff>
    </xdr:from>
    <xdr:to>
      <xdr:col>14</xdr:col>
      <xdr:colOff>83820</xdr:colOff>
      <xdr:row>665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77776122-1793-49D4-A537-F4B0ED5323C9}"/>
            </a:ext>
          </a:extLst>
        </xdr:cNvPr>
        <xdr:cNvSpPr/>
      </xdr:nvSpPr>
      <xdr:spPr>
        <a:xfrm>
          <a:off x="5372100" y="9346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666</xdr:row>
      <xdr:rowOff>0</xdr:rowOff>
    </xdr:from>
    <xdr:to>
      <xdr:col>14</xdr:col>
      <xdr:colOff>83820</xdr:colOff>
      <xdr:row>666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63C2256F-0A7E-4949-B45C-57599285565C}"/>
            </a:ext>
          </a:extLst>
        </xdr:cNvPr>
        <xdr:cNvSpPr/>
      </xdr:nvSpPr>
      <xdr:spPr>
        <a:xfrm rot="10800000">
          <a:off x="5372100" y="9364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668</xdr:row>
      <xdr:rowOff>0</xdr:rowOff>
    </xdr:from>
    <xdr:to>
      <xdr:col>14</xdr:col>
      <xdr:colOff>83820</xdr:colOff>
      <xdr:row>668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D06F271D-9F8A-411A-B355-55B1E9F6F238}"/>
            </a:ext>
          </a:extLst>
        </xdr:cNvPr>
        <xdr:cNvSpPr/>
      </xdr:nvSpPr>
      <xdr:spPr>
        <a:xfrm rot="10800000">
          <a:off x="5372100" y="9383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667</xdr:row>
      <xdr:rowOff>0</xdr:rowOff>
    </xdr:from>
    <xdr:to>
      <xdr:col>14</xdr:col>
      <xdr:colOff>83820</xdr:colOff>
      <xdr:row>667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F9DBBD6-F627-4AF4-BDBC-AB0F8BCE8B99}"/>
            </a:ext>
          </a:extLst>
        </xdr:cNvPr>
        <xdr:cNvSpPr/>
      </xdr:nvSpPr>
      <xdr:spPr>
        <a:xfrm>
          <a:off x="5372100" y="9383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670</xdr:row>
      <xdr:rowOff>0</xdr:rowOff>
    </xdr:from>
    <xdr:to>
      <xdr:col>14</xdr:col>
      <xdr:colOff>83820</xdr:colOff>
      <xdr:row>670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08372786-D007-48F8-A906-BC0DBDAB8D6C}"/>
            </a:ext>
          </a:extLst>
        </xdr:cNvPr>
        <xdr:cNvSpPr/>
      </xdr:nvSpPr>
      <xdr:spPr>
        <a:xfrm rot="10800000">
          <a:off x="5372100" y="9419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672</xdr:row>
      <xdr:rowOff>0</xdr:rowOff>
    </xdr:from>
    <xdr:to>
      <xdr:col>14</xdr:col>
      <xdr:colOff>83820</xdr:colOff>
      <xdr:row>672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0DF0AC5-FFF8-466E-8F50-BEB30A53DDBC}"/>
            </a:ext>
          </a:extLst>
        </xdr:cNvPr>
        <xdr:cNvSpPr/>
      </xdr:nvSpPr>
      <xdr:spPr>
        <a:xfrm rot="10800000">
          <a:off x="5372100" y="9456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669</xdr:row>
      <xdr:rowOff>0</xdr:rowOff>
    </xdr:from>
    <xdr:to>
      <xdr:col>14</xdr:col>
      <xdr:colOff>83820</xdr:colOff>
      <xdr:row>669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45FF9A9C-1789-4836-B961-48EF15C97905}"/>
            </a:ext>
          </a:extLst>
        </xdr:cNvPr>
        <xdr:cNvSpPr/>
      </xdr:nvSpPr>
      <xdr:spPr>
        <a:xfrm>
          <a:off x="5372100" y="9419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671</xdr:row>
      <xdr:rowOff>0</xdr:rowOff>
    </xdr:from>
    <xdr:to>
      <xdr:col>14</xdr:col>
      <xdr:colOff>83820</xdr:colOff>
      <xdr:row>671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F973EE0A-6BA5-4C67-8764-F3040D942BC3}"/>
            </a:ext>
          </a:extLst>
        </xdr:cNvPr>
        <xdr:cNvSpPr/>
      </xdr:nvSpPr>
      <xdr:spPr>
        <a:xfrm>
          <a:off x="5372100" y="9456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674</xdr:row>
      <xdr:rowOff>0</xdr:rowOff>
    </xdr:from>
    <xdr:to>
      <xdr:col>14</xdr:col>
      <xdr:colOff>83820</xdr:colOff>
      <xdr:row>674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836FD1B5-834E-47A4-82FF-DD0B2F4E6A7A}"/>
            </a:ext>
          </a:extLst>
        </xdr:cNvPr>
        <xdr:cNvSpPr/>
      </xdr:nvSpPr>
      <xdr:spPr>
        <a:xfrm rot="10800000">
          <a:off x="5372100" y="9492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673</xdr:row>
      <xdr:rowOff>0</xdr:rowOff>
    </xdr:from>
    <xdr:to>
      <xdr:col>14</xdr:col>
      <xdr:colOff>83820</xdr:colOff>
      <xdr:row>673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62A62568-6FC7-47BB-82BA-803FA815B838}"/>
            </a:ext>
          </a:extLst>
        </xdr:cNvPr>
        <xdr:cNvSpPr/>
      </xdr:nvSpPr>
      <xdr:spPr>
        <a:xfrm>
          <a:off x="5372100" y="9492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675</xdr:row>
      <xdr:rowOff>0</xdr:rowOff>
    </xdr:from>
    <xdr:to>
      <xdr:col>14</xdr:col>
      <xdr:colOff>83820</xdr:colOff>
      <xdr:row>675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D74D46EE-3D9F-4F4B-A20E-F599995577D0}"/>
            </a:ext>
          </a:extLst>
        </xdr:cNvPr>
        <xdr:cNvSpPr/>
      </xdr:nvSpPr>
      <xdr:spPr>
        <a:xfrm>
          <a:off x="5372100" y="9529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676</xdr:row>
      <xdr:rowOff>0</xdr:rowOff>
    </xdr:from>
    <xdr:to>
      <xdr:col>14</xdr:col>
      <xdr:colOff>83820</xdr:colOff>
      <xdr:row>676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36DE95FD-AA86-477B-8621-5F19EFDD63E2}"/>
            </a:ext>
          </a:extLst>
        </xdr:cNvPr>
        <xdr:cNvSpPr/>
      </xdr:nvSpPr>
      <xdr:spPr>
        <a:xfrm>
          <a:off x="5372100" y="9547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677</xdr:row>
      <xdr:rowOff>0</xdr:rowOff>
    </xdr:from>
    <xdr:to>
      <xdr:col>14</xdr:col>
      <xdr:colOff>83820</xdr:colOff>
      <xdr:row>677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EB76195E-ACDB-42A2-8B3D-9839D52A98CC}"/>
            </a:ext>
          </a:extLst>
        </xdr:cNvPr>
        <xdr:cNvSpPr/>
      </xdr:nvSpPr>
      <xdr:spPr>
        <a:xfrm>
          <a:off x="5372100" y="9566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678</xdr:row>
      <xdr:rowOff>0</xdr:rowOff>
    </xdr:from>
    <xdr:to>
      <xdr:col>14</xdr:col>
      <xdr:colOff>83820</xdr:colOff>
      <xdr:row>678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DE200F0D-0058-48CD-871A-8593F537455F}"/>
            </a:ext>
          </a:extLst>
        </xdr:cNvPr>
        <xdr:cNvSpPr/>
      </xdr:nvSpPr>
      <xdr:spPr>
        <a:xfrm rot="10800000">
          <a:off x="5372100" y="9584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679</xdr:row>
      <xdr:rowOff>0</xdr:rowOff>
    </xdr:from>
    <xdr:to>
      <xdr:col>14</xdr:col>
      <xdr:colOff>83820</xdr:colOff>
      <xdr:row>679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12E5847-8E7C-4526-A504-0B09B6A0BEF4}"/>
            </a:ext>
          </a:extLst>
        </xdr:cNvPr>
        <xdr:cNvSpPr/>
      </xdr:nvSpPr>
      <xdr:spPr>
        <a:xfrm>
          <a:off x="5372100" y="9602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680</xdr:row>
      <xdr:rowOff>0</xdr:rowOff>
    </xdr:from>
    <xdr:to>
      <xdr:col>14</xdr:col>
      <xdr:colOff>83820</xdr:colOff>
      <xdr:row>680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DB91DA61-67AC-4B36-8371-405736BDD59C}"/>
            </a:ext>
          </a:extLst>
        </xdr:cNvPr>
        <xdr:cNvSpPr/>
      </xdr:nvSpPr>
      <xdr:spPr>
        <a:xfrm>
          <a:off x="5372100" y="9602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682</xdr:row>
      <xdr:rowOff>0</xdr:rowOff>
    </xdr:from>
    <xdr:to>
      <xdr:col>14</xdr:col>
      <xdr:colOff>83820</xdr:colOff>
      <xdr:row>682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CFF9FBE4-399C-4CD5-8CAB-DA5578EF0E9E}"/>
            </a:ext>
          </a:extLst>
        </xdr:cNvPr>
        <xdr:cNvSpPr/>
      </xdr:nvSpPr>
      <xdr:spPr>
        <a:xfrm>
          <a:off x="5372100" y="9639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681</xdr:row>
      <xdr:rowOff>0</xdr:rowOff>
    </xdr:from>
    <xdr:to>
      <xdr:col>14</xdr:col>
      <xdr:colOff>83820</xdr:colOff>
      <xdr:row>681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1AF0EE0F-FBDD-4250-8634-5ED7A0F1499F}"/>
            </a:ext>
          </a:extLst>
        </xdr:cNvPr>
        <xdr:cNvSpPr/>
      </xdr:nvSpPr>
      <xdr:spPr>
        <a:xfrm rot="10800000">
          <a:off x="5372100" y="9639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683</xdr:row>
      <xdr:rowOff>0</xdr:rowOff>
    </xdr:from>
    <xdr:to>
      <xdr:col>14</xdr:col>
      <xdr:colOff>83820</xdr:colOff>
      <xdr:row>683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91134B71-B959-484F-A5F2-64C67011B14B}"/>
            </a:ext>
          </a:extLst>
        </xdr:cNvPr>
        <xdr:cNvSpPr/>
      </xdr:nvSpPr>
      <xdr:spPr>
        <a:xfrm>
          <a:off x="5372100" y="9657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685</xdr:row>
      <xdr:rowOff>0</xdr:rowOff>
    </xdr:from>
    <xdr:to>
      <xdr:col>14</xdr:col>
      <xdr:colOff>83820</xdr:colOff>
      <xdr:row>685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13496210-B1D7-495C-A677-0351994B452C}"/>
            </a:ext>
          </a:extLst>
        </xdr:cNvPr>
        <xdr:cNvSpPr/>
      </xdr:nvSpPr>
      <xdr:spPr>
        <a:xfrm>
          <a:off x="5372100" y="9694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684</xdr:row>
      <xdr:rowOff>0</xdr:rowOff>
    </xdr:from>
    <xdr:to>
      <xdr:col>14</xdr:col>
      <xdr:colOff>83820</xdr:colOff>
      <xdr:row>684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7A1DEA72-0CF2-4EF6-8459-0C2307E472F8}"/>
            </a:ext>
          </a:extLst>
        </xdr:cNvPr>
        <xdr:cNvSpPr/>
      </xdr:nvSpPr>
      <xdr:spPr>
        <a:xfrm rot="10800000">
          <a:off x="5372100" y="9694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686</xdr:row>
      <xdr:rowOff>0</xdr:rowOff>
    </xdr:from>
    <xdr:to>
      <xdr:col>14</xdr:col>
      <xdr:colOff>83820</xdr:colOff>
      <xdr:row>686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6637348B-F601-4D85-B3E9-828946A64AC6}"/>
            </a:ext>
          </a:extLst>
        </xdr:cNvPr>
        <xdr:cNvSpPr/>
      </xdr:nvSpPr>
      <xdr:spPr>
        <a:xfrm>
          <a:off x="5372100" y="9712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688</xdr:row>
      <xdr:rowOff>0</xdr:rowOff>
    </xdr:from>
    <xdr:to>
      <xdr:col>14</xdr:col>
      <xdr:colOff>83820</xdr:colOff>
      <xdr:row>688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50995F5-9B95-472E-9A49-A8BA6704CEF3}"/>
            </a:ext>
          </a:extLst>
        </xdr:cNvPr>
        <xdr:cNvSpPr/>
      </xdr:nvSpPr>
      <xdr:spPr>
        <a:xfrm>
          <a:off x="5372100" y="9749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687</xdr:row>
      <xdr:rowOff>0</xdr:rowOff>
    </xdr:from>
    <xdr:to>
      <xdr:col>14</xdr:col>
      <xdr:colOff>83820</xdr:colOff>
      <xdr:row>687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52BD187-EE63-4002-B10A-A2928212AF41}"/>
            </a:ext>
          </a:extLst>
        </xdr:cNvPr>
        <xdr:cNvSpPr/>
      </xdr:nvSpPr>
      <xdr:spPr>
        <a:xfrm rot="10800000">
          <a:off x="5372100" y="9749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690</xdr:row>
      <xdr:rowOff>0</xdr:rowOff>
    </xdr:from>
    <xdr:to>
      <xdr:col>14</xdr:col>
      <xdr:colOff>83820</xdr:colOff>
      <xdr:row>690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9F5FC780-9439-4F7B-BF45-33919DDDD71C}"/>
            </a:ext>
          </a:extLst>
        </xdr:cNvPr>
        <xdr:cNvSpPr/>
      </xdr:nvSpPr>
      <xdr:spPr>
        <a:xfrm>
          <a:off x="5372100" y="9785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689</xdr:row>
      <xdr:rowOff>0</xdr:rowOff>
    </xdr:from>
    <xdr:to>
      <xdr:col>14</xdr:col>
      <xdr:colOff>83820</xdr:colOff>
      <xdr:row>689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36B2D778-3E67-4229-A1CA-EBEB9DD0BD82}"/>
            </a:ext>
          </a:extLst>
        </xdr:cNvPr>
        <xdr:cNvSpPr/>
      </xdr:nvSpPr>
      <xdr:spPr>
        <a:xfrm rot="10800000">
          <a:off x="5372100" y="9785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691</xdr:row>
      <xdr:rowOff>0</xdr:rowOff>
    </xdr:from>
    <xdr:to>
      <xdr:col>14</xdr:col>
      <xdr:colOff>83820</xdr:colOff>
      <xdr:row>691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8DEC9D75-3281-4168-A34D-BEB1F1B1AF7F}"/>
            </a:ext>
          </a:extLst>
        </xdr:cNvPr>
        <xdr:cNvSpPr/>
      </xdr:nvSpPr>
      <xdr:spPr>
        <a:xfrm>
          <a:off x="5372100" y="9803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693</xdr:row>
      <xdr:rowOff>0</xdr:rowOff>
    </xdr:from>
    <xdr:to>
      <xdr:col>14</xdr:col>
      <xdr:colOff>83820</xdr:colOff>
      <xdr:row>693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61F1CD47-352D-4F34-B84C-B8460D44665E}"/>
            </a:ext>
          </a:extLst>
        </xdr:cNvPr>
        <xdr:cNvSpPr/>
      </xdr:nvSpPr>
      <xdr:spPr>
        <a:xfrm>
          <a:off x="5372100" y="9840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692</xdr:row>
      <xdr:rowOff>0</xdr:rowOff>
    </xdr:from>
    <xdr:to>
      <xdr:col>14</xdr:col>
      <xdr:colOff>83820</xdr:colOff>
      <xdr:row>692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158F0F5C-FFA0-4A10-9E2B-F840F06640D7}"/>
            </a:ext>
          </a:extLst>
        </xdr:cNvPr>
        <xdr:cNvSpPr/>
      </xdr:nvSpPr>
      <xdr:spPr>
        <a:xfrm rot="10800000">
          <a:off x="5372100" y="9840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695</xdr:row>
      <xdr:rowOff>0</xdr:rowOff>
    </xdr:from>
    <xdr:to>
      <xdr:col>14</xdr:col>
      <xdr:colOff>83820</xdr:colOff>
      <xdr:row>695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4973FB05-1AC7-40A1-A09F-A0595E119E99}"/>
            </a:ext>
          </a:extLst>
        </xdr:cNvPr>
        <xdr:cNvSpPr/>
      </xdr:nvSpPr>
      <xdr:spPr>
        <a:xfrm>
          <a:off x="5372100" y="9877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694</xdr:row>
      <xdr:rowOff>0</xdr:rowOff>
    </xdr:from>
    <xdr:to>
      <xdr:col>14</xdr:col>
      <xdr:colOff>83820</xdr:colOff>
      <xdr:row>694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31048BF4-2172-4BCF-ADAA-F8492B2D3EA9}"/>
            </a:ext>
          </a:extLst>
        </xdr:cNvPr>
        <xdr:cNvSpPr/>
      </xdr:nvSpPr>
      <xdr:spPr>
        <a:xfrm rot="10800000">
          <a:off x="5372100" y="98770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696</xdr:row>
      <xdr:rowOff>0</xdr:rowOff>
    </xdr:from>
    <xdr:to>
      <xdr:col>14</xdr:col>
      <xdr:colOff>83820</xdr:colOff>
      <xdr:row>696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9094E7B3-6081-4170-B6C2-FBD368066075}"/>
            </a:ext>
          </a:extLst>
        </xdr:cNvPr>
        <xdr:cNvSpPr/>
      </xdr:nvSpPr>
      <xdr:spPr>
        <a:xfrm>
          <a:off x="5372100" y="9895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697</xdr:row>
      <xdr:rowOff>0</xdr:rowOff>
    </xdr:from>
    <xdr:to>
      <xdr:col>14</xdr:col>
      <xdr:colOff>83820</xdr:colOff>
      <xdr:row>697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7CD1E4A3-3E9C-41CD-A92E-CDCBEECE0B1F}"/>
            </a:ext>
          </a:extLst>
        </xdr:cNvPr>
        <xdr:cNvSpPr/>
      </xdr:nvSpPr>
      <xdr:spPr>
        <a:xfrm>
          <a:off x="5372100" y="9913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698</xdr:row>
      <xdr:rowOff>0</xdr:rowOff>
    </xdr:from>
    <xdr:to>
      <xdr:col>14</xdr:col>
      <xdr:colOff>83820</xdr:colOff>
      <xdr:row>698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75B428A9-518A-4901-9A92-9FD7DBF92988}"/>
            </a:ext>
          </a:extLst>
        </xdr:cNvPr>
        <xdr:cNvSpPr/>
      </xdr:nvSpPr>
      <xdr:spPr>
        <a:xfrm>
          <a:off x="5372100" y="9931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700</xdr:row>
      <xdr:rowOff>0</xdr:rowOff>
    </xdr:from>
    <xdr:to>
      <xdr:col>14</xdr:col>
      <xdr:colOff>83820</xdr:colOff>
      <xdr:row>700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687E2F64-196D-475E-9F18-51F6AD64214E}"/>
            </a:ext>
          </a:extLst>
        </xdr:cNvPr>
        <xdr:cNvSpPr/>
      </xdr:nvSpPr>
      <xdr:spPr>
        <a:xfrm>
          <a:off x="5372100" y="9968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699</xdr:row>
      <xdr:rowOff>0</xdr:rowOff>
    </xdr:from>
    <xdr:to>
      <xdr:col>14</xdr:col>
      <xdr:colOff>83820</xdr:colOff>
      <xdr:row>699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74AE5E3C-3ECF-423C-914F-0264D7FEA352}"/>
            </a:ext>
          </a:extLst>
        </xdr:cNvPr>
        <xdr:cNvSpPr/>
      </xdr:nvSpPr>
      <xdr:spPr>
        <a:xfrm rot="10800000">
          <a:off x="5372100" y="99684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701</xdr:row>
      <xdr:rowOff>0</xdr:rowOff>
    </xdr:from>
    <xdr:to>
      <xdr:col>14</xdr:col>
      <xdr:colOff>83820</xdr:colOff>
      <xdr:row>701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4CB94F14-5A84-4671-B278-B1C8DF7124E3}"/>
            </a:ext>
          </a:extLst>
        </xdr:cNvPr>
        <xdr:cNvSpPr/>
      </xdr:nvSpPr>
      <xdr:spPr>
        <a:xfrm rot="10800000">
          <a:off x="5372100" y="10005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702</xdr:row>
      <xdr:rowOff>0</xdr:rowOff>
    </xdr:from>
    <xdr:to>
      <xdr:col>14</xdr:col>
      <xdr:colOff>83820</xdr:colOff>
      <xdr:row>702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C597841F-3DD0-4328-9AE0-4F5EA1CB5B1E}"/>
            </a:ext>
          </a:extLst>
        </xdr:cNvPr>
        <xdr:cNvSpPr/>
      </xdr:nvSpPr>
      <xdr:spPr>
        <a:xfrm rot="10800000">
          <a:off x="5372100" y="10005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703</xdr:row>
      <xdr:rowOff>0</xdr:rowOff>
    </xdr:from>
    <xdr:to>
      <xdr:col>14</xdr:col>
      <xdr:colOff>83820</xdr:colOff>
      <xdr:row>703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B6A4839C-ADA9-43FD-A4BF-EFEA38E52882}"/>
            </a:ext>
          </a:extLst>
        </xdr:cNvPr>
        <xdr:cNvSpPr/>
      </xdr:nvSpPr>
      <xdr:spPr>
        <a:xfrm>
          <a:off x="5372100" y="10041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704</xdr:row>
      <xdr:rowOff>0</xdr:rowOff>
    </xdr:from>
    <xdr:to>
      <xdr:col>14</xdr:col>
      <xdr:colOff>83820</xdr:colOff>
      <xdr:row>704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26BAC8C5-9AD4-4D32-A8E5-BE6FEC090737}"/>
            </a:ext>
          </a:extLst>
        </xdr:cNvPr>
        <xdr:cNvSpPr/>
      </xdr:nvSpPr>
      <xdr:spPr>
        <a:xfrm>
          <a:off x="5372100" y="10059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705</xdr:row>
      <xdr:rowOff>0</xdr:rowOff>
    </xdr:from>
    <xdr:to>
      <xdr:col>14</xdr:col>
      <xdr:colOff>83820</xdr:colOff>
      <xdr:row>705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16C78C36-EFE4-470D-B8BD-CCD9195FE676}"/>
            </a:ext>
          </a:extLst>
        </xdr:cNvPr>
        <xdr:cNvSpPr/>
      </xdr:nvSpPr>
      <xdr:spPr>
        <a:xfrm>
          <a:off x="5372100" y="10078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706</xdr:row>
      <xdr:rowOff>0</xdr:rowOff>
    </xdr:from>
    <xdr:to>
      <xdr:col>14</xdr:col>
      <xdr:colOff>83820</xdr:colOff>
      <xdr:row>706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1E5E8158-0AAC-48B6-B3DF-9FCA6A996D4A}"/>
            </a:ext>
          </a:extLst>
        </xdr:cNvPr>
        <xdr:cNvSpPr/>
      </xdr:nvSpPr>
      <xdr:spPr>
        <a:xfrm>
          <a:off x="5372100" y="10078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707</xdr:row>
      <xdr:rowOff>0</xdr:rowOff>
    </xdr:from>
    <xdr:to>
      <xdr:col>14</xdr:col>
      <xdr:colOff>83820</xdr:colOff>
      <xdr:row>707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A07CB7BB-C0DF-4D6B-BE87-90B2DADDE7A9}"/>
            </a:ext>
          </a:extLst>
        </xdr:cNvPr>
        <xdr:cNvSpPr/>
      </xdr:nvSpPr>
      <xdr:spPr>
        <a:xfrm>
          <a:off x="5372100" y="100965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708</xdr:row>
      <xdr:rowOff>0</xdr:rowOff>
    </xdr:from>
    <xdr:to>
      <xdr:col>14</xdr:col>
      <xdr:colOff>83820</xdr:colOff>
      <xdr:row>708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06094EFD-F228-463B-A228-873EDEF7EDC5}"/>
            </a:ext>
          </a:extLst>
        </xdr:cNvPr>
        <xdr:cNvSpPr/>
      </xdr:nvSpPr>
      <xdr:spPr>
        <a:xfrm rot="10800000">
          <a:off x="5372100" y="10133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709</xdr:row>
      <xdr:rowOff>0</xdr:rowOff>
    </xdr:from>
    <xdr:to>
      <xdr:col>14</xdr:col>
      <xdr:colOff>83820</xdr:colOff>
      <xdr:row>709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8CD26E59-EE0F-435C-A4BB-BE92327B51D7}"/>
            </a:ext>
          </a:extLst>
        </xdr:cNvPr>
        <xdr:cNvSpPr/>
      </xdr:nvSpPr>
      <xdr:spPr>
        <a:xfrm>
          <a:off x="5372100" y="10151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710</xdr:row>
      <xdr:rowOff>0</xdr:rowOff>
    </xdr:from>
    <xdr:to>
      <xdr:col>14</xdr:col>
      <xdr:colOff>83820</xdr:colOff>
      <xdr:row>710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B16ACA9C-5813-471B-94EC-BAE6F66F3D6B}"/>
            </a:ext>
          </a:extLst>
        </xdr:cNvPr>
        <xdr:cNvSpPr/>
      </xdr:nvSpPr>
      <xdr:spPr>
        <a:xfrm rot="10800000">
          <a:off x="5372100" y="101696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711</xdr:row>
      <xdr:rowOff>0</xdr:rowOff>
    </xdr:from>
    <xdr:to>
      <xdr:col>14</xdr:col>
      <xdr:colOff>83820</xdr:colOff>
      <xdr:row>711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C35A0557-157F-4775-B25B-1F1E551FC1AE}"/>
            </a:ext>
          </a:extLst>
        </xdr:cNvPr>
        <xdr:cNvSpPr/>
      </xdr:nvSpPr>
      <xdr:spPr>
        <a:xfrm>
          <a:off x="5372100" y="10187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712</xdr:row>
      <xdr:rowOff>0</xdr:rowOff>
    </xdr:from>
    <xdr:to>
      <xdr:col>14</xdr:col>
      <xdr:colOff>83820</xdr:colOff>
      <xdr:row>712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29EB94BE-615C-450D-87F7-72617181F89C}"/>
            </a:ext>
          </a:extLst>
        </xdr:cNvPr>
        <xdr:cNvSpPr/>
      </xdr:nvSpPr>
      <xdr:spPr>
        <a:xfrm>
          <a:off x="5372100" y="10187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713</xdr:row>
      <xdr:rowOff>0</xdr:rowOff>
    </xdr:from>
    <xdr:to>
      <xdr:col>14</xdr:col>
      <xdr:colOff>83820</xdr:colOff>
      <xdr:row>713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0DA8D94E-E0B1-4116-8306-4D0C70EA08BF}"/>
            </a:ext>
          </a:extLst>
        </xdr:cNvPr>
        <xdr:cNvSpPr/>
      </xdr:nvSpPr>
      <xdr:spPr>
        <a:xfrm rot="10800000">
          <a:off x="5372100" y="10224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714</xdr:row>
      <xdr:rowOff>0</xdr:rowOff>
    </xdr:from>
    <xdr:to>
      <xdr:col>14</xdr:col>
      <xdr:colOff>83820</xdr:colOff>
      <xdr:row>714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70BB3D18-08E4-4396-95A9-845AEC04DD3D}"/>
            </a:ext>
          </a:extLst>
        </xdr:cNvPr>
        <xdr:cNvSpPr/>
      </xdr:nvSpPr>
      <xdr:spPr>
        <a:xfrm rot="10800000">
          <a:off x="5372100" y="10224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715</xdr:row>
      <xdr:rowOff>0</xdr:rowOff>
    </xdr:from>
    <xdr:to>
      <xdr:col>14</xdr:col>
      <xdr:colOff>83820</xdr:colOff>
      <xdr:row>715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0BDF8C41-8BBF-43C7-828A-7664BEEE6C5D}"/>
            </a:ext>
          </a:extLst>
        </xdr:cNvPr>
        <xdr:cNvSpPr/>
      </xdr:nvSpPr>
      <xdr:spPr>
        <a:xfrm>
          <a:off x="5372100" y="10261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716</xdr:row>
      <xdr:rowOff>0</xdr:rowOff>
    </xdr:from>
    <xdr:to>
      <xdr:col>14</xdr:col>
      <xdr:colOff>83820</xdr:colOff>
      <xdr:row>716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347F6BD5-8BC4-4B90-95B8-B2122DD7D025}"/>
            </a:ext>
          </a:extLst>
        </xdr:cNvPr>
        <xdr:cNvSpPr/>
      </xdr:nvSpPr>
      <xdr:spPr>
        <a:xfrm>
          <a:off x="5372100" y="10261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718</xdr:row>
      <xdr:rowOff>0</xdr:rowOff>
    </xdr:from>
    <xdr:to>
      <xdr:col>14</xdr:col>
      <xdr:colOff>83820</xdr:colOff>
      <xdr:row>718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5386A7C4-E339-42F7-9B9F-92964AA74EB0}"/>
            </a:ext>
          </a:extLst>
        </xdr:cNvPr>
        <xdr:cNvSpPr/>
      </xdr:nvSpPr>
      <xdr:spPr>
        <a:xfrm>
          <a:off x="5372100" y="10297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717</xdr:row>
      <xdr:rowOff>0</xdr:rowOff>
    </xdr:from>
    <xdr:to>
      <xdr:col>14</xdr:col>
      <xdr:colOff>83820</xdr:colOff>
      <xdr:row>717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36CDAC16-9447-4F4E-B646-E9C39153CC35}"/>
            </a:ext>
          </a:extLst>
        </xdr:cNvPr>
        <xdr:cNvSpPr/>
      </xdr:nvSpPr>
      <xdr:spPr>
        <a:xfrm rot="10800000">
          <a:off x="5372100" y="10297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719</xdr:row>
      <xdr:rowOff>0</xdr:rowOff>
    </xdr:from>
    <xdr:to>
      <xdr:col>14</xdr:col>
      <xdr:colOff>83820</xdr:colOff>
      <xdr:row>719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BBFA184C-9DDE-4128-A7D8-A3C9B70C636E}"/>
            </a:ext>
          </a:extLst>
        </xdr:cNvPr>
        <xdr:cNvSpPr/>
      </xdr:nvSpPr>
      <xdr:spPr>
        <a:xfrm>
          <a:off x="5372100" y="10315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721</xdr:row>
      <xdr:rowOff>0</xdr:rowOff>
    </xdr:from>
    <xdr:to>
      <xdr:col>14</xdr:col>
      <xdr:colOff>83820</xdr:colOff>
      <xdr:row>721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8E6B1ED5-5236-44BD-AB3E-94CBE271AE3A}"/>
            </a:ext>
          </a:extLst>
        </xdr:cNvPr>
        <xdr:cNvSpPr/>
      </xdr:nvSpPr>
      <xdr:spPr>
        <a:xfrm>
          <a:off x="5372100" y="10352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720</xdr:row>
      <xdr:rowOff>0</xdr:rowOff>
    </xdr:from>
    <xdr:to>
      <xdr:col>14</xdr:col>
      <xdr:colOff>83820</xdr:colOff>
      <xdr:row>720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3608FEDD-4A2C-4E8F-B35B-E5E080371BB7}"/>
            </a:ext>
          </a:extLst>
        </xdr:cNvPr>
        <xdr:cNvSpPr/>
      </xdr:nvSpPr>
      <xdr:spPr>
        <a:xfrm rot="10800000">
          <a:off x="5372100" y="10352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724</xdr:row>
      <xdr:rowOff>0</xdr:rowOff>
    </xdr:from>
    <xdr:to>
      <xdr:col>14</xdr:col>
      <xdr:colOff>83820</xdr:colOff>
      <xdr:row>724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D9B6341C-00DD-4C32-B68B-71C52C97ABD9}"/>
            </a:ext>
          </a:extLst>
        </xdr:cNvPr>
        <xdr:cNvSpPr/>
      </xdr:nvSpPr>
      <xdr:spPr>
        <a:xfrm>
          <a:off x="5372100" y="10407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726</xdr:row>
      <xdr:rowOff>0</xdr:rowOff>
    </xdr:from>
    <xdr:to>
      <xdr:col>14</xdr:col>
      <xdr:colOff>83820</xdr:colOff>
      <xdr:row>726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7671DF2-AE7B-46F6-9003-C56ED33D0E02}"/>
            </a:ext>
          </a:extLst>
        </xdr:cNvPr>
        <xdr:cNvSpPr/>
      </xdr:nvSpPr>
      <xdr:spPr>
        <a:xfrm>
          <a:off x="5372100" y="10443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722</xdr:row>
      <xdr:rowOff>0</xdr:rowOff>
    </xdr:from>
    <xdr:to>
      <xdr:col>14</xdr:col>
      <xdr:colOff>83820</xdr:colOff>
      <xdr:row>722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81F6F99A-9A7D-4E20-B431-9762AF16D30C}"/>
            </a:ext>
          </a:extLst>
        </xdr:cNvPr>
        <xdr:cNvSpPr/>
      </xdr:nvSpPr>
      <xdr:spPr>
        <a:xfrm rot="10800000">
          <a:off x="5372100" y="10389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725</xdr:row>
      <xdr:rowOff>0</xdr:rowOff>
    </xdr:from>
    <xdr:to>
      <xdr:col>14</xdr:col>
      <xdr:colOff>83820</xdr:colOff>
      <xdr:row>725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D3DE2607-BCB0-4A6F-9DBC-959A093B4769}"/>
            </a:ext>
          </a:extLst>
        </xdr:cNvPr>
        <xdr:cNvSpPr/>
      </xdr:nvSpPr>
      <xdr:spPr>
        <a:xfrm rot="10800000">
          <a:off x="5372100" y="10443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723</xdr:row>
      <xdr:rowOff>0</xdr:rowOff>
    </xdr:from>
    <xdr:to>
      <xdr:col>14</xdr:col>
      <xdr:colOff>83820</xdr:colOff>
      <xdr:row>723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E1F72B4C-40FD-4195-BC7F-52C4309C3481}"/>
            </a:ext>
          </a:extLst>
        </xdr:cNvPr>
        <xdr:cNvSpPr/>
      </xdr:nvSpPr>
      <xdr:spPr>
        <a:xfrm rot="10800000">
          <a:off x="5372100" y="10407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728</xdr:row>
      <xdr:rowOff>0</xdr:rowOff>
    </xdr:from>
    <xdr:to>
      <xdr:col>14</xdr:col>
      <xdr:colOff>83820</xdr:colOff>
      <xdr:row>728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19E11998-4E8F-423B-B3A0-CA6301ACF344}"/>
            </a:ext>
          </a:extLst>
        </xdr:cNvPr>
        <xdr:cNvSpPr/>
      </xdr:nvSpPr>
      <xdr:spPr>
        <a:xfrm>
          <a:off x="5372100" y="10480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727</xdr:row>
      <xdr:rowOff>0</xdr:rowOff>
    </xdr:from>
    <xdr:to>
      <xdr:col>14</xdr:col>
      <xdr:colOff>83820</xdr:colOff>
      <xdr:row>727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19B9AA15-AE71-419D-8AA6-18B5F68B17A7}"/>
            </a:ext>
          </a:extLst>
        </xdr:cNvPr>
        <xdr:cNvSpPr/>
      </xdr:nvSpPr>
      <xdr:spPr>
        <a:xfrm rot="10800000">
          <a:off x="5372100" y="10480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729</xdr:row>
      <xdr:rowOff>0</xdr:rowOff>
    </xdr:from>
    <xdr:to>
      <xdr:col>14</xdr:col>
      <xdr:colOff>83820</xdr:colOff>
      <xdr:row>729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9DA0BFF6-277A-44D6-8996-D3EFBB33A35C}"/>
            </a:ext>
          </a:extLst>
        </xdr:cNvPr>
        <xdr:cNvSpPr/>
      </xdr:nvSpPr>
      <xdr:spPr>
        <a:xfrm>
          <a:off x="5372100" y="104988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732</xdr:row>
      <xdr:rowOff>0</xdr:rowOff>
    </xdr:from>
    <xdr:to>
      <xdr:col>14</xdr:col>
      <xdr:colOff>83820</xdr:colOff>
      <xdr:row>732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D316D3F8-4A29-4F83-BA30-DA1A0F54873B}"/>
            </a:ext>
          </a:extLst>
        </xdr:cNvPr>
        <xdr:cNvSpPr/>
      </xdr:nvSpPr>
      <xdr:spPr>
        <a:xfrm>
          <a:off x="5372100" y="10553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730</xdr:row>
      <xdr:rowOff>0</xdr:rowOff>
    </xdr:from>
    <xdr:to>
      <xdr:col>14</xdr:col>
      <xdr:colOff>83820</xdr:colOff>
      <xdr:row>730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A4489605-84C6-44FA-80AD-459827D5C661}"/>
            </a:ext>
          </a:extLst>
        </xdr:cNvPr>
        <xdr:cNvSpPr/>
      </xdr:nvSpPr>
      <xdr:spPr>
        <a:xfrm rot="10800000">
          <a:off x="5372100" y="10535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731</xdr:row>
      <xdr:rowOff>0</xdr:rowOff>
    </xdr:from>
    <xdr:to>
      <xdr:col>14</xdr:col>
      <xdr:colOff>83820</xdr:colOff>
      <xdr:row>731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F8EB9107-32F8-4BDD-BCB2-8973A1C9B613}"/>
            </a:ext>
          </a:extLst>
        </xdr:cNvPr>
        <xdr:cNvSpPr/>
      </xdr:nvSpPr>
      <xdr:spPr>
        <a:xfrm rot="10800000">
          <a:off x="5372100" y="105537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733</xdr:row>
      <xdr:rowOff>0</xdr:rowOff>
    </xdr:from>
    <xdr:to>
      <xdr:col>14</xdr:col>
      <xdr:colOff>83820</xdr:colOff>
      <xdr:row>733</xdr:row>
      <xdr:rowOff>114300</xdr:rowOff>
    </xdr:to>
    <xdr:sp macro="" textlink="">
      <xdr:nvSpPr>
        <xdr:cNvPr id="760" name="Arrow: Down 759">
          <a:extLst>
            <a:ext uri="{FF2B5EF4-FFF2-40B4-BE49-F238E27FC236}">
              <a16:creationId xmlns:a16="http://schemas.microsoft.com/office/drawing/2014/main" id="{4EB0F5B1-06F8-4702-86A3-F8B4052CF208}"/>
            </a:ext>
          </a:extLst>
        </xdr:cNvPr>
        <xdr:cNvSpPr/>
      </xdr:nvSpPr>
      <xdr:spPr>
        <a:xfrm>
          <a:off x="5372100" y="10571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734</xdr:row>
      <xdr:rowOff>0</xdr:rowOff>
    </xdr:from>
    <xdr:to>
      <xdr:col>14</xdr:col>
      <xdr:colOff>83820</xdr:colOff>
      <xdr:row>734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808A6AD4-CA92-40E4-92FA-6C29CA92BFAA}"/>
            </a:ext>
          </a:extLst>
        </xdr:cNvPr>
        <xdr:cNvSpPr/>
      </xdr:nvSpPr>
      <xdr:spPr>
        <a:xfrm rot="10800000">
          <a:off x="5372100" y="10608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735</xdr:row>
      <xdr:rowOff>0</xdr:rowOff>
    </xdr:from>
    <xdr:to>
      <xdr:col>14</xdr:col>
      <xdr:colOff>83820</xdr:colOff>
      <xdr:row>735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67E0129B-3099-4F54-9B24-C73814AE2C1E}"/>
            </a:ext>
          </a:extLst>
        </xdr:cNvPr>
        <xdr:cNvSpPr/>
      </xdr:nvSpPr>
      <xdr:spPr>
        <a:xfrm>
          <a:off x="5372100" y="10626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738</xdr:row>
      <xdr:rowOff>0</xdr:rowOff>
    </xdr:from>
    <xdr:to>
      <xdr:col>14</xdr:col>
      <xdr:colOff>83820</xdr:colOff>
      <xdr:row>738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0CB4E2F0-1F59-44D1-A561-CB54801796E0}"/>
            </a:ext>
          </a:extLst>
        </xdr:cNvPr>
        <xdr:cNvSpPr/>
      </xdr:nvSpPr>
      <xdr:spPr>
        <a:xfrm>
          <a:off x="5372100" y="10663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736</xdr:row>
      <xdr:rowOff>0</xdr:rowOff>
    </xdr:from>
    <xdr:to>
      <xdr:col>14</xdr:col>
      <xdr:colOff>83820</xdr:colOff>
      <xdr:row>736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97E6439F-2409-4F28-A128-D14DFA8A920E}"/>
            </a:ext>
          </a:extLst>
        </xdr:cNvPr>
        <xdr:cNvSpPr/>
      </xdr:nvSpPr>
      <xdr:spPr>
        <a:xfrm rot="10800000">
          <a:off x="5372100" y="10645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737</xdr:row>
      <xdr:rowOff>0</xdr:rowOff>
    </xdr:from>
    <xdr:to>
      <xdr:col>14</xdr:col>
      <xdr:colOff>83820</xdr:colOff>
      <xdr:row>737</xdr:row>
      <xdr:rowOff>114300</xdr:rowOff>
    </xdr:to>
    <xdr:sp macro="" textlink="">
      <xdr:nvSpPr>
        <xdr:cNvPr id="770" name="Arrow: Down 769">
          <a:extLst>
            <a:ext uri="{FF2B5EF4-FFF2-40B4-BE49-F238E27FC236}">
              <a16:creationId xmlns:a16="http://schemas.microsoft.com/office/drawing/2014/main" id="{8BAAF4B2-0A48-40F6-A58D-C65A36396CC6}"/>
            </a:ext>
          </a:extLst>
        </xdr:cNvPr>
        <xdr:cNvSpPr/>
      </xdr:nvSpPr>
      <xdr:spPr>
        <a:xfrm rot="10800000">
          <a:off x="5372100" y="10663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739</xdr:row>
      <xdr:rowOff>0</xdr:rowOff>
    </xdr:from>
    <xdr:to>
      <xdr:col>14</xdr:col>
      <xdr:colOff>83820</xdr:colOff>
      <xdr:row>739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61EB7440-2569-49C8-B8F2-19106F254722}"/>
            </a:ext>
          </a:extLst>
        </xdr:cNvPr>
        <xdr:cNvSpPr/>
      </xdr:nvSpPr>
      <xdr:spPr>
        <a:xfrm rot="10800000">
          <a:off x="5372100" y="10700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740</xdr:row>
      <xdr:rowOff>0</xdr:rowOff>
    </xdr:from>
    <xdr:to>
      <xdr:col>14</xdr:col>
      <xdr:colOff>83820</xdr:colOff>
      <xdr:row>740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3F7534DB-A094-40BA-9C55-C83996DBD30D}"/>
            </a:ext>
          </a:extLst>
        </xdr:cNvPr>
        <xdr:cNvSpPr/>
      </xdr:nvSpPr>
      <xdr:spPr>
        <a:xfrm>
          <a:off x="5372100" y="10718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741</xdr:row>
      <xdr:rowOff>0</xdr:rowOff>
    </xdr:from>
    <xdr:to>
      <xdr:col>14</xdr:col>
      <xdr:colOff>83820</xdr:colOff>
      <xdr:row>741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A8E21446-18BF-4EB8-9E0A-911C85F986A0}"/>
            </a:ext>
          </a:extLst>
        </xdr:cNvPr>
        <xdr:cNvSpPr/>
      </xdr:nvSpPr>
      <xdr:spPr>
        <a:xfrm>
          <a:off x="5372100" y="10718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742</xdr:row>
      <xdr:rowOff>0</xdr:rowOff>
    </xdr:from>
    <xdr:to>
      <xdr:col>14</xdr:col>
      <xdr:colOff>83820</xdr:colOff>
      <xdr:row>742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10B2FD71-3200-427F-9E8B-8B127796240B}"/>
            </a:ext>
          </a:extLst>
        </xdr:cNvPr>
        <xdr:cNvSpPr/>
      </xdr:nvSpPr>
      <xdr:spPr>
        <a:xfrm rot="10800000">
          <a:off x="5372100" y="10754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743</xdr:row>
      <xdr:rowOff>0</xdr:rowOff>
    </xdr:from>
    <xdr:to>
      <xdr:col>14</xdr:col>
      <xdr:colOff>83820</xdr:colOff>
      <xdr:row>743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F993F4C8-2596-427B-9BB4-54EE89B0072C}"/>
            </a:ext>
          </a:extLst>
        </xdr:cNvPr>
        <xdr:cNvSpPr/>
      </xdr:nvSpPr>
      <xdr:spPr>
        <a:xfrm>
          <a:off x="5372100" y="10773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745</xdr:row>
      <xdr:rowOff>0</xdr:rowOff>
    </xdr:from>
    <xdr:to>
      <xdr:col>14</xdr:col>
      <xdr:colOff>83820</xdr:colOff>
      <xdr:row>745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1507D658-58E2-4D99-8469-A5A66F71B3F8}"/>
            </a:ext>
          </a:extLst>
        </xdr:cNvPr>
        <xdr:cNvSpPr/>
      </xdr:nvSpPr>
      <xdr:spPr>
        <a:xfrm>
          <a:off x="5372100" y="10791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744</xdr:row>
      <xdr:rowOff>0</xdr:rowOff>
    </xdr:from>
    <xdr:to>
      <xdr:col>14</xdr:col>
      <xdr:colOff>83820</xdr:colOff>
      <xdr:row>744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AEFE43CF-F242-4D42-9EE4-E017EC862E41}"/>
            </a:ext>
          </a:extLst>
        </xdr:cNvPr>
        <xdr:cNvSpPr/>
      </xdr:nvSpPr>
      <xdr:spPr>
        <a:xfrm rot="10800000">
          <a:off x="5372100" y="10791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746</xdr:row>
      <xdr:rowOff>0</xdr:rowOff>
    </xdr:from>
    <xdr:to>
      <xdr:col>14</xdr:col>
      <xdr:colOff>83820</xdr:colOff>
      <xdr:row>746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EC0F68F7-EB56-405A-9E26-D221F51C1ABB}"/>
            </a:ext>
          </a:extLst>
        </xdr:cNvPr>
        <xdr:cNvSpPr/>
      </xdr:nvSpPr>
      <xdr:spPr>
        <a:xfrm>
          <a:off x="5372100" y="10809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747</xdr:row>
      <xdr:rowOff>0</xdr:rowOff>
    </xdr:from>
    <xdr:to>
      <xdr:col>14</xdr:col>
      <xdr:colOff>83820</xdr:colOff>
      <xdr:row>747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4F54CE03-2983-4A45-A331-634D71C7DACC}"/>
            </a:ext>
          </a:extLst>
        </xdr:cNvPr>
        <xdr:cNvSpPr/>
      </xdr:nvSpPr>
      <xdr:spPr>
        <a:xfrm>
          <a:off x="5372100" y="10828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749</xdr:row>
      <xdr:rowOff>0</xdr:rowOff>
    </xdr:from>
    <xdr:to>
      <xdr:col>14</xdr:col>
      <xdr:colOff>83820</xdr:colOff>
      <xdr:row>749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F97EFB07-33B8-4BF2-9E35-9B3429929AFB}"/>
            </a:ext>
          </a:extLst>
        </xdr:cNvPr>
        <xdr:cNvSpPr/>
      </xdr:nvSpPr>
      <xdr:spPr>
        <a:xfrm>
          <a:off x="5372100" y="10864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748</xdr:row>
      <xdr:rowOff>0</xdr:rowOff>
    </xdr:from>
    <xdr:to>
      <xdr:col>14</xdr:col>
      <xdr:colOff>83820</xdr:colOff>
      <xdr:row>748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507DC438-C1B6-4BCC-9100-80BA77CFB9B9}"/>
            </a:ext>
          </a:extLst>
        </xdr:cNvPr>
        <xdr:cNvSpPr/>
      </xdr:nvSpPr>
      <xdr:spPr>
        <a:xfrm rot="10800000">
          <a:off x="5372100" y="10864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751</xdr:row>
      <xdr:rowOff>0</xdr:rowOff>
    </xdr:from>
    <xdr:to>
      <xdr:col>14</xdr:col>
      <xdr:colOff>83820</xdr:colOff>
      <xdr:row>751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409AEC9C-EC49-47CD-957E-7F4FBB64D229}"/>
            </a:ext>
          </a:extLst>
        </xdr:cNvPr>
        <xdr:cNvSpPr/>
      </xdr:nvSpPr>
      <xdr:spPr>
        <a:xfrm>
          <a:off x="5372100" y="10901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750</xdr:row>
      <xdr:rowOff>0</xdr:rowOff>
    </xdr:from>
    <xdr:to>
      <xdr:col>14</xdr:col>
      <xdr:colOff>83820</xdr:colOff>
      <xdr:row>750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B2DD1621-88B6-4080-9A84-45A08BB1D543}"/>
            </a:ext>
          </a:extLst>
        </xdr:cNvPr>
        <xdr:cNvSpPr/>
      </xdr:nvSpPr>
      <xdr:spPr>
        <a:xfrm rot="10800000">
          <a:off x="5372100" y="10901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752</xdr:row>
      <xdr:rowOff>0</xdr:rowOff>
    </xdr:from>
    <xdr:to>
      <xdr:col>14</xdr:col>
      <xdr:colOff>83820</xdr:colOff>
      <xdr:row>752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56FF22BE-51EC-44A5-BC4E-29ED29B8FB8B}"/>
            </a:ext>
          </a:extLst>
        </xdr:cNvPr>
        <xdr:cNvSpPr/>
      </xdr:nvSpPr>
      <xdr:spPr>
        <a:xfrm>
          <a:off x="5372100" y="10919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753</xdr:row>
      <xdr:rowOff>0</xdr:rowOff>
    </xdr:from>
    <xdr:to>
      <xdr:col>14</xdr:col>
      <xdr:colOff>83820</xdr:colOff>
      <xdr:row>753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3920A840-A209-4BF4-9A7C-1B1DB84B4949}"/>
            </a:ext>
          </a:extLst>
        </xdr:cNvPr>
        <xdr:cNvSpPr/>
      </xdr:nvSpPr>
      <xdr:spPr>
        <a:xfrm rot="10800000">
          <a:off x="5372100" y="10956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754</xdr:row>
      <xdr:rowOff>0</xdr:rowOff>
    </xdr:from>
    <xdr:to>
      <xdr:col>14</xdr:col>
      <xdr:colOff>83820</xdr:colOff>
      <xdr:row>754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87DCA271-4EC6-4185-9763-91DCA5110353}"/>
            </a:ext>
          </a:extLst>
        </xdr:cNvPr>
        <xdr:cNvSpPr/>
      </xdr:nvSpPr>
      <xdr:spPr>
        <a:xfrm>
          <a:off x="5372100" y="10974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755</xdr:row>
      <xdr:rowOff>0</xdr:rowOff>
    </xdr:from>
    <xdr:to>
      <xdr:col>14</xdr:col>
      <xdr:colOff>83820</xdr:colOff>
      <xdr:row>755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9B3A86B3-80EF-4F9A-AE11-4E98BFEC099C}"/>
            </a:ext>
          </a:extLst>
        </xdr:cNvPr>
        <xdr:cNvSpPr/>
      </xdr:nvSpPr>
      <xdr:spPr>
        <a:xfrm rot="10800000">
          <a:off x="5372100" y="10992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756</xdr:row>
      <xdr:rowOff>0</xdr:rowOff>
    </xdr:from>
    <xdr:to>
      <xdr:col>14</xdr:col>
      <xdr:colOff>83820</xdr:colOff>
      <xdr:row>756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3858A1D2-63AA-4B91-8FAB-5CA777F5B838}"/>
            </a:ext>
          </a:extLst>
        </xdr:cNvPr>
        <xdr:cNvSpPr/>
      </xdr:nvSpPr>
      <xdr:spPr>
        <a:xfrm>
          <a:off x="5372100" y="11010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757</xdr:row>
      <xdr:rowOff>0</xdr:rowOff>
    </xdr:from>
    <xdr:to>
      <xdr:col>14</xdr:col>
      <xdr:colOff>83820</xdr:colOff>
      <xdr:row>757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59283D5B-240C-4447-9B88-E33FC0295CBE}"/>
            </a:ext>
          </a:extLst>
        </xdr:cNvPr>
        <xdr:cNvSpPr/>
      </xdr:nvSpPr>
      <xdr:spPr>
        <a:xfrm rot="10800000">
          <a:off x="5372100" y="11029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759</xdr:row>
      <xdr:rowOff>0</xdr:rowOff>
    </xdr:from>
    <xdr:to>
      <xdr:col>14</xdr:col>
      <xdr:colOff>83820</xdr:colOff>
      <xdr:row>759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4C54572E-A21F-45FD-BC5C-E9EF284229C9}"/>
            </a:ext>
          </a:extLst>
        </xdr:cNvPr>
        <xdr:cNvSpPr/>
      </xdr:nvSpPr>
      <xdr:spPr>
        <a:xfrm rot="10800000">
          <a:off x="5372100" y="11047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758</xdr:row>
      <xdr:rowOff>0</xdr:rowOff>
    </xdr:from>
    <xdr:to>
      <xdr:col>14</xdr:col>
      <xdr:colOff>83820</xdr:colOff>
      <xdr:row>758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5AE46B98-B392-4AFC-A5F3-14C98D474FAF}"/>
            </a:ext>
          </a:extLst>
        </xdr:cNvPr>
        <xdr:cNvSpPr/>
      </xdr:nvSpPr>
      <xdr:spPr>
        <a:xfrm>
          <a:off x="5372100" y="11047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760</xdr:row>
      <xdr:rowOff>0</xdr:rowOff>
    </xdr:from>
    <xdr:to>
      <xdr:col>14</xdr:col>
      <xdr:colOff>83820</xdr:colOff>
      <xdr:row>760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E86901B1-712B-4CF6-A8DF-B614FFB2AB09}"/>
            </a:ext>
          </a:extLst>
        </xdr:cNvPr>
        <xdr:cNvSpPr/>
      </xdr:nvSpPr>
      <xdr:spPr>
        <a:xfrm>
          <a:off x="5372100" y="11084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761</xdr:row>
      <xdr:rowOff>0</xdr:rowOff>
    </xdr:from>
    <xdr:to>
      <xdr:col>14</xdr:col>
      <xdr:colOff>83820</xdr:colOff>
      <xdr:row>761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AB2125C5-DDBE-490B-9D3A-B170A5A40099}"/>
            </a:ext>
          </a:extLst>
        </xdr:cNvPr>
        <xdr:cNvSpPr/>
      </xdr:nvSpPr>
      <xdr:spPr>
        <a:xfrm>
          <a:off x="5372100" y="11084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763</xdr:row>
      <xdr:rowOff>0</xdr:rowOff>
    </xdr:from>
    <xdr:to>
      <xdr:col>14</xdr:col>
      <xdr:colOff>83820</xdr:colOff>
      <xdr:row>763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CC114C5-5EE1-4E28-9A49-F17219D05C0B}"/>
            </a:ext>
          </a:extLst>
        </xdr:cNvPr>
        <xdr:cNvSpPr/>
      </xdr:nvSpPr>
      <xdr:spPr>
        <a:xfrm>
          <a:off x="5372100" y="11120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762</xdr:row>
      <xdr:rowOff>0</xdr:rowOff>
    </xdr:from>
    <xdr:to>
      <xdr:col>14</xdr:col>
      <xdr:colOff>83820</xdr:colOff>
      <xdr:row>762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B38D07CC-9C26-4EBB-80DA-2B2DB21E537C}"/>
            </a:ext>
          </a:extLst>
        </xdr:cNvPr>
        <xdr:cNvSpPr/>
      </xdr:nvSpPr>
      <xdr:spPr>
        <a:xfrm rot="10800000">
          <a:off x="5372100" y="11120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764</xdr:row>
      <xdr:rowOff>0</xdr:rowOff>
    </xdr:from>
    <xdr:to>
      <xdr:col>14</xdr:col>
      <xdr:colOff>83820</xdr:colOff>
      <xdr:row>764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866AE84D-D009-41EC-BCF6-3374FF75C250}"/>
            </a:ext>
          </a:extLst>
        </xdr:cNvPr>
        <xdr:cNvSpPr/>
      </xdr:nvSpPr>
      <xdr:spPr>
        <a:xfrm>
          <a:off x="5372100" y="11138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766</xdr:row>
      <xdr:rowOff>0</xdr:rowOff>
    </xdr:from>
    <xdr:to>
      <xdr:col>14</xdr:col>
      <xdr:colOff>83820</xdr:colOff>
      <xdr:row>766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FAF0201C-6F18-4905-BDBF-D26F894A7061}"/>
            </a:ext>
          </a:extLst>
        </xdr:cNvPr>
        <xdr:cNvSpPr/>
      </xdr:nvSpPr>
      <xdr:spPr>
        <a:xfrm>
          <a:off x="5372100" y="11175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765</xdr:row>
      <xdr:rowOff>0</xdr:rowOff>
    </xdr:from>
    <xdr:to>
      <xdr:col>14</xdr:col>
      <xdr:colOff>83820</xdr:colOff>
      <xdr:row>765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47540C32-3471-4122-BADC-B04FAC30A0AD}"/>
            </a:ext>
          </a:extLst>
        </xdr:cNvPr>
        <xdr:cNvSpPr/>
      </xdr:nvSpPr>
      <xdr:spPr>
        <a:xfrm rot="10800000">
          <a:off x="5372100" y="111754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767</xdr:row>
      <xdr:rowOff>0</xdr:rowOff>
    </xdr:from>
    <xdr:to>
      <xdr:col>14</xdr:col>
      <xdr:colOff>83820</xdr:colOff>
      <xdr:row>767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BF3276AD-1DE4-488F-B15D-F36796ADEE58}"/>
            </a:ext>
          </a:extLst>
        </xdr:cNvPr>
        <xdr:cNvSpPr/>
      </xdr:nvSpPr>
      <xdr:spPr>
        <a:xfrm>
          <a:off x="5372100" y="11193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768</xdr:row>
      <xdr:rowOff>0</xdr:rowOff>
    </xdr:from>
    <xdr:to>
      <xdr:col>14</xdr:col>
      <xdr:colOff>83820</xdr:colOff>
      <xdr:row>768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59FC5EF7-D381-4F0C-A7F9-AF84D1A2A99F}"/>
            </a:ext>
          </a:extLst>
        </xdr:cNvPr>
        <xdr:cNvSpPr/>
      </xdr:nvSpPr>
      <xdr:spPr>
        <a:xfrm>
          <a:off x="5372100" y="11212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770</xdr:row>
      <xdr:rowOff>0</xdr:rowOff>
    </xdr:from>
    <xdr:to>
      <xdr:col>14</xdr:col>
      <xdr:colOff>83820</xdr:colOff>
      <xdr:row>770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EE4385BD-0E3D-448B-9665-AF92ED2AF43E}"/>
            </a:ext>
          </a:extLst>
        </xdr:cNvPr>
        <xdr:cNvSpPr/>
      </xdr:nvSpPr>
      <xdr:spPr>
        <a:xfrm>
          <a:off x="5372100" y="11248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769</xdr:row>
      <xdr:rowOff>0</xdr:rowOff>
    </xdr:from>
    <xdr:to>
      <xdr:col>14</xdr:col>
      <xdr:colOff>83820</xdr:colOff>
      <xdr:row>769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039EBE96-BDCE-49C6-8380-45CA2F1FA0E9}"/>
            </a:ext>
          </a:extLst>
        </xdr:cNvPr>
        <xdr:cNvSpPr/>
      </xdr:nvSpPr>
      <xdr:spPr>
        <a:xfrm rot="10800000">
          <a:off x="5372100" y="11248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772</xdr:row>
      <xdr:rowOff>0</xdr:rowOff>
    </xdr:from>
    <xdr:to>
      <xdr:col>14</xdr:col>
      <xdr:colOff>83820</xdr:colOff>
      <xdr:row>772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50DC2710-1241-48D7-B5D9-762FABE232A4}"/>
            </a:ext>
          </a:extLst>
        </xdr:cNvPr>
        <xdr:cNvSpPr/>
      </xdr:nvSpPr>
      <xdr:spPr>
        <a:xfrm>
          <a:off x="5372100" y="11285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771</xdr:row>
      <xdr:rowOff>0</xdr:rowOff>
    </xdr:from>
    <xdr:to>
      <xdr:col>14</xdr:col>
      <xdr:colOff>83820</xdr:colOff>
      <xdr:row>771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1BF1DB55-5ADF-42F4-8945-56383E01B0FB}"/>
            </a:ext>
          </a:extLst>
        </xdr:cNvPr>
        <xdr:cNvSpPr/>
      </xdr:nvSpPr>
      <xdr:spPr>
        <a:xfrm rot="10800000">
          <a:off x="5372100" y="112852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774</xdr:row>
      <xdr:rowOff>0</xdr:rowOff>
    </xdr:from>
    <xdr:to>
      <xdr:col>14</xdr:col>
      <xdr:colOff>83820</xdr:colOff>
      <xdr:row>774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0E0A2361-46D6-4943-9D60-7C575CDAFC05}"/>
            </a:ext>
          </a:extLst>
        </xdr:cNvPr>
        <xdr:cNvSpPr/>
      </xdr:nvSpPr>
      <xdr:spPr>
        <a:xfrm>
          <a:off x="5372100" y="11321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773</xdr:row>
      <xdr:rowOff>0</xdr:rowOff>
    </xdr:from>
    <xdr:to>
      <xdr:col>14</xdr:col>
      <xdr:colOff>83820</xdr:colOff>
      <xdr:row>773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7DFBAF3B-D222-476D-AAF9-F02D39E28166}"/>
            </a:ext>
          </a:extLst>
        </xdr:cNvPr>
        <xdr:cNvSpPr/>
      </xdr:nvSpPr>
      <xdr:spPr>
        <a:xfrm rot="10800000">
          <a:off x="5372100" y="11321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775</xdr:row>
      <xdr:rowOff>0</xdr:rowOff>
    </xdr:from>
    <xdr:to>
      <xdr:col>14</xdr:col>
      <xdr:colOff>83820</xdr:colOff>
      <xdr:row>775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66E64285-FB75-4BB6-8130-0C094435CA5C}"/>
            </a:ext>
          </a:extLst>
        </xdr:cNvPr>
        <xdr:cNvSpPr/>
      </xdr:nvSpPr>
      <xdr:spPr>
        <a:xfrm>
          <a:off x="5372100" y="11340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776</xdr:row>
      <xdr:rowOff>0</xdr:rowOff>
    </xdr:from>
    <xdr:to>
      <xdr:col>14</xdr:col>
      <xdr:colOff>83820</xdr:colOff>
      <xdr:row>776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3EB5E8D0-CFCA-4373-85E4-B6D3571DDD0D}"/>
            </a:ext>
          </a:extLst>
        </xdr:cNvPr>
        <xdr:cNvSpPr/>
      </xdr:nvSpPr>
      <xdr:spPr>
        <a:xfrm rot="10800000">
          <a:off x="5372100" y="11376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777</xdr:row>
      <xdr:rowOff>0</xdr:rowOff>
    </xdr:from>
    <xdr:to>
      <xdr:col>14</xdr:col>
      <xdr:colOff>83820</xdr:colOff>
      <xdr:row>777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550EB390-583D-4F73-ADF2-EBA9C6810747}"/>
            </a:ext>
          </a:extLst>
        </xdr:cNvPr>
        <xdr:cNvSpPr/>
      </xdr:nvSpPr>
      <xdr:spPr>
        <a:xfrm>
          <a:off x="5372100" y="11394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778</xdr:row>
      <xdr:rowOff>0</xdr:rowOff>
    </xdr:from>
    <xdr:to>
      <xdr:col>14</xdr:col>
      <xdr:colOff>83820</xdr:colOff>
      <xdr:row>778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36D0A5DA-8DE5-451C-BD42-2F41DFE5D447}"/>
            </a:ext>
          </a:extLst>
        </xdr:cNvPr>
        <xdr:cNvSpPr/>
      </xdr:nvSpPr>
      <xdr:spPr>
        <a:xfrm rot="10800000">
          <a:off x="5372100" y="114132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779</xdr:row>
      <xdr:rowOff>0</xdr:rowOff>
    </xdr:from>
    <xdr:to>
      <xdr:col>14</xdr:col>
      <xdr:colOff>83820</xdr:colOff>
      <xdr:row>779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CC43E0AF-8E8A-4712-92B8-C7014E786A2B}"/>
            </a:ext>
          </a:extLst>
        </xdr:cNvPr>
        <xdr:cNvSpPr/>
      </xdr:nvSpPr>
      <xdr:spPr>
        <a:xfrm rot="10800000">
          <a:off x="5372100" y="114132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780</xdr:row>
      <xdr:rowOff>0</xdr:rowOff>
    </xdr:from>
    <xdr:to>
      <xdr:col>14</xdr:col>
      <xdr:colOff>83820</xdr:colOff>
      <xdr:row>780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C9466C9D-4B14-4A1B-B193-1205AC64A702}"/>
            </a:ext>
          </a:extLst>
        </xdr:cNvPr>
        <xdr:cNvSpPr/>
      </xdr:nvSpPr>
      <xdr:spPr>
        <a:xfrm>
          <a:off x="5372100" y="114498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781</xdr:row>
      <xdr:rowOff>0</xdr:rowOff>
    </xdr:from>
    <xdr:to>
      <xdr:col>14</xdr:col>
      <xdr:colOff>83820</xdr:colOff>
      <xdr:row>781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A769FCA3-0143-47F0-BF40-BC9882ADAC80}"/>
            </a:ext>
          </a:extLst>
        </xdr:cNvPr>
        <xdr:cNvSpPr/>
      </xdr:nvSpPr>
      <xdr:spPr>
        <a:xfrm>
          <a:off x="5372100" y="11468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782</xdr:row>
      <xdr:rowOff>0</xdr:rowOff>
    </xdr:from>
    <xdr:to>
      <xdr:col>14</xdr:col>
      <xdr:colOff>83820</xdr:colOff>
      <xdr:row>782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47312C3B-9E58-4B69-AE14-D40C04531020}"/>
            </a:ext>
          </a:extLst>
        </xdr:cNvPr>
        <xdr:cNvSpPr/>
      </xdr:nvSpPr>
      <xdr:spPr>
        <a:xfrm>
          <a:off x="5372100" y="11468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783</xdr:row>
      <xdr:rowOff>0</xdr:rowOff>
    </xdr:from>
    <xdr:to>
      <xdr:col>14</xdr:col>
      <xdr:colOff>83820</xdr:colOff>
      <xdr:row>783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9D316C9F-331B-4F11-B639-899E39323E0A}"/>
            </a:ext>
          </a:extLst>
        </xdr:cNvPr>
        <xdr:cNvSpPr/>
      </xdr:nvSpPr>
      <xdr:spPr>
        <a:xfrm rot="10800000">
          <a:off x="5372100" y="11504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785</xdr:row>
      <xdr:rowOff>0</xdr:rowOff>
    </xdr:from>
    <xdr:to>
      <xdr:col>14</xdr:col>
      <xdr:colOff>83820</xdr:colOff>
      <xdr:row>785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836FAC47-8EB2-4A3E-8E6E-70A4EE7CCE10}"/>
            </a:ext>
          </a:extLst>
        </xdr:cNvPr>
        <xdr:cNvSpPr/>
      </xdr:nvSpPr>
      <xdr:spPr>
        <a:xfrm rot="10800000">
          <a:off x="5372100" y="115229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787</xdr:row>
      <xdr:rowOff>0</xdr:rowOff>
    </xdr:from>
    <xdr:to>
      <xdr:col>14</xdr:col>
      <xdr:colOff>83820</xdr:colOff>
      <xdr:row>787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42C5A937-CFA5-438D-B092-FA13DB1FD5CB}"/>
            </a:ext>
          </a:extLst>
        </xdr:cNvPr>
        <xdr:cNvSpPr/>
      </xdr:nvSpPr>
      <xdr:spPr>
        <a:xfrm rot="10800000">
          <a:off x="5372100" y="11559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788</xdr:row>
      <xdr:rowOff>0</xdr:rowOff>
    </xdr:from>
    <xdr:to>
      <xdr:col>14</xdr:col>
      <xdr:colOff>83820</xdr:colOff>
      <xdr:row>788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83F32295-3B8E-41A2-8277-85B2699567D0}"/>
            </a:ext>
          </a:extLst>
        </xdr:cNvPr>
        <xdr:cNvSpPr/>
      </xdr:nvSpPr>
      <xdr:spPr>
        <a:xfrm>
          <a:off x="5372100" y="11596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789</xdr:row>
      <xdr:rowOff>0</xdr:rowOff>
    </xdr:from>
    <xdr:to>
      <xdr:col>14</xdr:col>
      <xdr:colOff>83820</xdr:colOff>
      <xdr:row>789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AAE169B5-D064-4B6A-B19F-A97C2584E13E}"/>
            </a:ext>
          </a:extLst>
        </xdr:cNvPr>
        <xdr:cNvSpPr/>
      </xdr:nvSpPr>
      <xdr:spPr>
        <a:xfrm>
          <a:off x="5372100" y="11596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784</xdr:row>
      <xdr:rowOff>0</xdr:rowOff>
    </xdr:from>
    <xdr:to>
      <xdr:col>14</xdr:col>
      <xdr:colOff>83820</xdr:colOff>
      <xdr:row>784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0E82A33B-9053-428C-A623-2E904074D768}"/>
            </a:ext>
          </a:extLst>
        </xdr:cNvPr>
        <xdr:cNvSpPr/>
      </xdr:nvSpPr>
      <xdr:spPr>
        <a:xfrm>
          <a:off x="5372100" y="11522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786</xdr:row>
      <xdr:rowOff>0</xdr:rowOff>
    </xdr:from>
    <xdr:to>
      <xdr:col>14</xdr:col>
      <xdr:colOff>83820</xdr:colOff>
      <xdr:row>786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7E5F8064-3CAF-4DC6-8F00-9A54FB7F7FD3}"/>
            </a:ext>
          </a:extLst>
        </xdr:cNvPr>
        <xdr:cNvSpPr/>
      </xdr:nvSpPr>
      <xdr:spPr>
        <a:xfrm>
          <a:off x="5372100" y="11559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791</xdr:row>
      <xdr:rowOff>0</xdr:rowOff>
    </xdr:from>
    <xdr:to>
      <xdr:col>14</xdr:col>
      <xdr:colOff>83820</xdr:colOff>
      <xdr:row>791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8E8B67A3-F03A-4AFC-893D-389A7F7F26A0}"/>
            </a:ext>
          </a:extLst>
        </xdr:cNvPr>
        <xdr:cNvSpPr/>
      </xdr:nvSpPr>
      <xdr:spPr>
        <a:xfrm rot="10800000">
          <a:off x="5372100" y="11650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790</xdr:row>
      <xdr:rowOff>0</xdr:rowOff>
    </xdr:from>
    <xdr:to>
      <xdr:col>14</xdr:col>
      <xdr:colOff>83820</xdr:colOff>
      <xdr:row>790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8B190623-91DC-475E-A8B3-035DB1A29CF9}"/>
            </a:ext>
          </a:extLst>
        </xdr:cNvPr>
        <xdr:cNvSpPr/>
      </xdr:nvSpPr>
      <xdr:spPr>
        <a:xfrm rot="10800000">
          <a:off x="5372100" y="11632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793</xdr:row>
      <xdr:rowOff>0</xdr:rowOff>
    </xdr:from>
    <xdr:to>
      <xdr:col>14</xdr:col>
      <xdr:colOff>83820</xdr:colOff>
      <xdr:row>793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80A5E3B7-497D-490C-AB3A-1C189A5E3003}"/>
            </a:ext>
          </a:extLst>
        </xdr:cNvPr>
        <xdr:cNvSpPr/>
      </xdr:nvSpPr>
      <xdr:spPr>
        <a:xfrm rot="10800000">
          <a:off x="5372100" y="1166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792</xdr:row>
      <xdr:rowOff>0</xdr:rowOff>
    </xdr:from>
    <xdr:to>
      <xdr:col>14</xdr:col>
      <xdr:colOff>83820</xdr:colOff>
      <xdr:row>792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DA9D1530-6E7E-49C7-ABDB-4B336E7E773B}"/>
            </a:ext>
          </a:extLst>
        </xdr:cNvPr>
        <xdr:cNvSpPr/>
      </xdr:nvSpPr>
      <xdr:spPr>
        <a:xfrm>
          <a:off x="5372100" y="11669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795</xdr:row>
      <xdr:rowOff>0</xdr:rowOff>
    </xdr:from>
    <xdr:to>
      <xdr:col>14</xdr:col>
      <xdr:colOff>83820</xdr:colOff>
      <xdr:row>795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8FE92A50-63EF-4831-B5D0-AEB3036C1FDE}"/>
            </a:ext>
          </a:extLst>
        </xdr:cNvPr>
        <xdr:cNvSpPr/>
      </xdr:nvSpPr>
      <xdr:spPr>
        <a:xfrm rot="10800000">
          <a:off x="5372100" y="11705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794</xdr:row>
      <xdr:rowOff>0</xdr:rowOff>
    </xdr:from>
    <xdr:to>
      <xdr:col>14</xdr:col>
      <xdr:colOff>83820</xdr:colOff>
      <xdr:row>794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0C6E851F-BEC6-4826-9A51-426DB9A3FAEA}"/>
            </a:ext>
          </a:extLst>
        </xdr:cNvPr>
        <xdr:cNvSpPr/>
      </xdr:nvSpPr>
      <xdr:spPr>
        <a:xfrm>
          <a:off x="5372100" y="11705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796</xdr:row>
      <xdr:rowOff>0</xdr:rowOff>
    </xdr:from>
    <xdr:to>
      <xdr:col>14</xdr:col>
      <xdr:colOff>83820</xdr:colOff>
      <xdr:row>796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B00D68B3-BDB3-4514-ABFD-4806B4C542B2}"/>
            </a:ext>
          </a:extLst>
        </xdr:cNvPr>
        <xdr:cNvSpPr/>
      </xdr:nvSpPr>
      <xdr:spPr>
        <a:xfrm>
          <a:off x="5372100" y="11742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797</xdr:row>
      <xdr:rowOff>0</xdr:rowOff>
    </xdr:from>
    <xdr:to>
      <xdr:col>14</xdr:col>
      <xdr:colOff>83820</xdr:colOff>
      <xdr:row>797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41F6C11D-ED25-4839-B48B-0A583DB5ECA8}"/>
            </a:ext>
          </a:extLst>
        </xdr:cNvPr>
        <xdr:cNvSpPr/>
      </xdr:nvSpPr>
      <xdr:spPr>
        <a:xfrm rot="10800000">
          <a:off x="5372100" y="117607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799</xdr:row>
      <xdr:rowOff>0</xdr:rowOff>
    </xdr:from>
    <xdr:to>
      <xdr:col>14</xdr:col>
      <xdr:colOff>83820</xdr:colOff>
      <xdr:row>799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D3CB774D-8812-4F85-8C1A-7C4EBE93D13A}"/>
            </a:ext>
          </a:extLst>
        </xdr:cNvPr>
        <xdr:cNvSpPr/>
      </xdr:nvSpPr>
      <xdr:spPr>
        <a:xfrm rot="10800000">
          <a:off x="5372100" y="11778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798</xdr:row>
      <xdr:rowOff>0</xdr:rowOff>
    </xdr:from>
    <xdr:to>
      <xdr:col>14</xdr:col>
      <xdr:colOff>83820</xdr:colOff>
      <xdr:row>798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54F3AC40-16B2-4D1B-A2E7-75D97FFA01DE}"/>
            </a:ext>
          </a:extLst>
        </xdr:cNvPr>
        <xdr:cNvSpPr/>
      </xdr:nvSpPr>
      <xdr:spPr>
        <a:xfrm>
          <a:off x="5372100" y="11778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801</xdr:row>
      <xdr:rowOff>0</xdr:rowOff>
    </xdr:from>
    <xdr:to>
      <xdr:col>14</xdr:col>
      <xdr:colOff>83820</xdr:colOff>
      <xdr:row>801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F6389299-231A-4712-9FA1-1B99FA6C4E7A}"/>
            </a:ext>
          </a:extLst>
        </xdr:cNvPr>
        <xdr:cNvSpPr/>
      </xdr:nvSpPr>
      <xdr:spPr>
        <a:xfrm rot="10800000">
          <a:off x="5372100" y="11815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800</xdr:row>
      <xdr:rowOff>0</xdr:rowOff>
    </xdr:from>
    <xdr:to>
      <xdr:col>14</xdr:col>
      <xdr:colOff>83820</xdr:colOff>
      <xdr:row>800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958A52E5-F677-416C-BBE1-219492A33D8F}"/>
            </a:ext>
          </a:extLst>
        </xdr:cNvPr>
        <xdr:cNvSpPr/>
      </xdr:nvSpPr>
      <xdr:spPr>
        <a:xfrm>
          <a:off x="5372100" y="11815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802</xdr:row>
      <xdr:rowOff>0</xdr:rowOff>
    </xdr:from>
    <xdr:to>
      <xdr:col>14</xdr:col>
      <xdr:colOff>83820</xdr:colOff>
      <xdr:row>802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F1A70850-E9A7-4BE8-BFDC-FB525A1BB12E}"/>
            </a:ext>
          </a:extLst>
        </xdr:cNvPr>
        <xdr:cNvSpPr/>
      </xdr:nvSpPr>
      <xdr:spPr>
        <a:xfrm>
          <a:off x="5372100" y="11852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803</xdr:row>
      <xdr:rowOff>0</xdr:rowOff>
    </xdr:from>
    <xdr:to>
      <xdr:col>14</xdr:col>
      <xdr:colOff>83820</xdr:colOff>
      <xdr:row>803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52D8AFFD-50E6-496A-BC91-969F5B2F8865}"/>
            </a:ext>
          </a:extLst>
        </xdr:cNvPr>
        <xdr:cNvSpPr/>
      </xdr:nvSpPr>
      <xdr:spPr>
        <a:xfrm>
          <a:off x="5372100" y="11852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805</xdr:row>
      <xdr:rowOff>0</xdr:rowOff>
    </xdr:from>
    <xdr:to>
      <xdr:col>14</xdr:col>
      <xdr:colOff>83820</xdr:colOff>
      <xdr:row>805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75256A6D-902D-4D4A-AC2A-4409F63BA825}"/>
            </a:ext>
          </a:extLst>
        </xdr:cNvPr>
        <xdr:cNvSpPr/>
      </xdr:nvSpPr>
      <xdr:spPr>
        <a:xfrm>
          <a:off x="5372100" y="11888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804</xdr:row>
      <xdr:rowOff>0</xdr:rowOff>
    </xdr:from>
    <xdr:to>
      <xdr:col>14</xdr:col>
      <xdr:colOff>83820</xdr:colOff>
      <xdr:row>804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A7FC635F-4032-4F87-8DFF-7B00CECE8FA8}"/>
            </a:ext>
          </a:extLst>
        </xdr:cNvPr>
        <xdr:cNvSpPr/>
      </xdr:nvSpPr>
      <xdr:spPr>
        <a:xfrm rot="10800000">
          <a:off x="5372100" y="11888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808</xdr:row>
      <xdr:rowOff>0</xdr:rowOff>
    </xdr:from>
    <xdr:to>
      <xdr:col>14</xdr:col>
      <xdr:colOff>83820</xdr:colOff>
      <xdr:row>808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18E8406-61D7-4E37-89A8-4887F0FEFEBB}"/>
            </a:ext>
          </a:extLst>
        </xdr:cNvPr>
        <xdr:cNvSpPr/>
      </xdr:nvSpPr>
      <xdr:spPr>
        <a:xfrm>
          <a:off x="5372100" y="11943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809</xdr:row>
      <xdr:rowOff>0</xdr:rowOff>
    </xdr:from>
    <xdr:to>
      <xdr:col>14</xdr:col>
      <xdr:colOff>83820</xdr:colOff>
      <xdr:row>809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A61C2D77-89FA-44AB-8F56-80A54FA72086}"/>
            </a:ext>
          </a:extLst>
        </xdr:cNvPr>
        <xdr:cNvSpPr/>
      </xdr:nvSpPr>
      <xdr:spPr>
        <a:xfrm>
          <a:off x="5372100" y="11961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810</xdr:row>
      <xdr:rowOff>0</xdr:rowOff>
    </xdr:from>
    <xdr:to>
      <xdr:col>14</xdr:col>
      <xdr:colOff>83820</xdr:colOff>
      <xdr:row>810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D4E5169B-690D-4BA1-AE9C-5218697950FB}"/>
            </a:ext>
          </a:extLst>
        </xdr:cNvPr>
        <xdr:cNvSpPr/>
      </xdr:nvSpPr>
      <xdr:spPr>
        <a:xfrm>
          <a:off x="5372100" y="11980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806</xdr:row>
      <xdr:rowOff>0</xdr:rowOff>
    </xdr:from>
    <xdr:to>
      <xdr:col>14</xdr:col>
      <xdr:colOff>83820</xdr:colOff>
      <xdr:row>806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B4C7D55E-D98A-4EC8-8273-C85B2F72B748}"/>
            </a:ext>
          </a:extLst>
        </xdr:cNvPr>
        <xdr:cNvSpPr/>
      </xdr:nvSpPr>
      <xdr:spPr>
        <a:xfrm rot="10800000">
          <a:off x="5372100" y="11925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811</xdr:row>
      <xdr:rowOff>0</xdr:rowOff>
    </xdr:from>
    <xdr:to>
      <xdr:col>14</xdr:col>
      <xdr:colOff>83820</xdr:colOff>
      <xdr:row>811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1DE55076-B524-42D2-A90D-DB1FEAB7579E}"/>
            </a:ext>
          </a:extLst>
        </xdr:cNvPr>
        <xdr:cNvSpPr/>
      </xdr:nvSpPr>
      <xdr:spPr>
        <a:xfrm rot="10800000">
          <a:off x="5372100" y="12016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807</xdr:row>
      <xdr:rowOff>0</xdr:rowOff>
    </xdr:from>
    <xdr:to>
      <xdr:col>14</xdr:col>
      <xdr:colOff>83820</xdr:colOff>
      <xdr:row>807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CA210F9B-A7BD-4952-BC06-91016F82CF2B}"/>
            </a:ext>
          </a:extLst>
        </xdr:cNvPr>
        <xdr:cNvSpPr/>
      </xdr:nvSpPr>
      <xdr:spPr>
        <a:xfrm rot="10800000">
          <a:off x="5372100" y="119435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812</xdr:row>
      <xdr:rowOff>0</xdr:rowOff>
    </xdr:from>
    <xdr:to>
      <xdr:col>14</xdr:col>
      <xdr:colOff>83820</xdr:colOff>
      <xdr:row>812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8A2509BD-AB39-466F-AD4C-AE852FFD07AD}"/>
            </a:ext>
          </a:extLst>
        </xdr:cNvPr>
        <xdr:cNvSpPr/>
      </xdr:nvSpPr>
      <xdr:spPr>
        <a:xfrm rot="10800000">
          <a:off x="5372100" y="12035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813</xdr:row>
      <xdr:rowOff>0</xdr:rowOff>
    </xdr:from>
    <xdr:to>
      <xdr:col>14</xdr:col>
      <xdr:colOff>83820</xdr:colOff>
      <xdr:row>813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1E3B568D-1A24-4480-B69D-1B75D4DE63DD}"/>
            </a:ext>
          </a:extLst>
        </xdr:cNvPr>
        <xdr:cNvSpPr/>
      </xdr:nvSpPr>
      <xdr:spPr>
        <a:xfrm rot="10800000">
          <a:off x="5372100" y="12035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815</xdr:row>
      <xdr:rowOff>0</xdr:rowOff>
    </xdr:from>
    <xdr:to>
      <xdr:col>14</xdr:col>
      <xdr:colOff>83820</xdr:colOff>
      <xdr:row>815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F7CB2000-1DFE-4FDF-A516-4E4CACBBBBB7}"/>
            </a:ext>
          </a:extLst>
        </xdr:cNvPr>
        <xdr:cNvSpPr/>
      </xdr:nvSpPr>
      <xdr:spPr>
        <a:xfrm rot="10800000">
          <a:off x="5372100" y="12071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818</xdr:row>
      <xdr:rowOff>0</xdr:rowOff>
    </xdr:from>
    <xdr:to>
      <xdr:col>14</xdr:col>
      <xdr:colOff>83820</xdr:colOff>
      <xdr:row>818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E0535919-8609-4154-B6EC-92385A9A4917}"/>
            </a:ext>
          </a:extLst>
        </xdr:cNvPr>
        <xdr:cNvSpPr/>
      </xdr:nvSpPr>
      <xdr:spPr>
        <a:xfrm rot="10800000">
          <a:off x="5372100" y="12126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822</xdr:row>
      <xdr:rowOff>0</xdr:rowOff>
    </xdr:from>
    <xdr:to>
      <xdr:col>14</xdr:col>
      <xdr:colOff>83820</xdr:colOff>
      <xdr:row>822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34695D0B-B784-4F02-8682-CE2C155D9796}"/>
            </a:ext>
          </a:extLst>
        </xdr:cNvPr>
        <xdr:cNvSpPr/>
      </xdr:nvSpPr>
      <xdr:spPr>
        <a:xfrm rot="10800000">
          <a:off x="5372100" y="121813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814</xdr:row>
      <xdr:rowOff>0</xdr:rowOff>
    </xdr:from>
    <xdr:to>
      <xdr:col>14</xdr:col>
      <xdr:colOff>83820</xdr:colOff>
      <xdr:row>814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159BBB32-01CF-4B43-85B3-EDA6CE77F371}"/>
            </a:ext>
          </a:extLst>
        </xdr:cNvPr>
        <xdr:cNvSpPr/>
      </xdr:nvSpPr>
      <xdr:spPr>
        <a:xfrm>
          <a:off x="5372100" y="12071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816</xdr:row>
      <xdr:rowOff>0</xdr:rowOff>
    </xdr:from>
    <xdr:to>
      <xdr:col>14</xdr:col>
      <xdr:colOff>83820</xdr:colOff>
      <xdr:row>816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0A80FB66-A128-4007-9387-14D6D2504D2F}"/>
            </a:ext>
          </a:extLst>
        </xdr:cNvPr>
        <xdr:cNvSpPr/>
      </xdr:nvSpPr>
      <xdr:spPr>
        <a:xfrm>
          <a:off x="5372100" y="12108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819</xdr:row>
      <xdr:rowOff>0</xdr:rowOff>
    </xdr:from>
    <xdr:to>
      <xdr:col>14</xdr:col>
      <xdr:colOff>83820</xdr:colOff>
      <xdr:row>819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B55E926C-6F44-44E0-A54F-38F9DFD265DC}"/>
            </a:ext>
          </a:extLst>
        </xdr:cNvPr>
        <xdr:cNvSpPr/>
      </xdr:nvSpPr>
      <xdr:spPr>
        <a:xfrm>
          <a:off x="5372100" y="12163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820</xdr:row>
      <xdr:rowOff>0</xdr:rowOff>
    </xdr:from>
    <xdr:to>
      <xdr:col>14</xdr:col>
      <xdr:colOff>83820</xdr:colOff>
      <xdr:row>820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198FCAA1-6F09-4972-8E4A-1E7336BEE678}"/>
            </a:ext>
          </a:extLst>
        </xdr:cNvPr>
        <xdr:cNvSpPr/>
      </xdr:nvSpPr>
      <xdr:spPr>
        <a:xfrm>
          <a:off x="5372100" y="12181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823</xdr:row>
      <xdr:rowOff>0</xdr:rowOff>
    </xdr:from>
    <xdr:to>
      <xdr:col>14</xdr:col>
      <xdr:colOff>83820</xdr:colOff>
      <xdr:row>823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92CFABF3-2A09-4F52-872E-3A85A222CBFC}"/>
            </a:ext>
          </a:extLst>
        </xdr:cNvPr>
        <xdr:cNvSpPr/>
      </xdr:nvSpPr>
      <xdr:spPr>
        <a:xfrm>
          <a:off x="5372100" y="12236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824</xdr:row>
      <xdr:rowOff>0</xdr:rowOff>
    </xdr:from>
    <xdr:to>
      <xdr:col>14</xdr:col>
      <xdr:colOff>83820</xdr:colOff>
      <xdr:row>824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59F11EEA-DE79-4886-8DE7-95C45CB63132}"/>
            </a:ext>
          </a:extLst>
        </xdr:cNvPr>
        <xdr:cNvSpPr/>
      </xdr:nvSpPr>
      <xdr:spPr>
        <a:xfrm>
          <a:off x="5372100" y="12254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817</xdr:row>
      <xdr:rowOff>0</xdr:rowOff>
    </xdr:from>
    <xdr:to>
      <xdr:col>14</xdr:col>
      <xdr:colOff>83820</xdr:colOff>
      <xdr:row>817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83287544-4214-4C7B-BABD-CADAD92E782B}"/>
            </a:ext>
          </a:extLst>
        </xdr:cNvPr>
        <xdr:cNvSpPr/>
      </xdr:nvSpPr>
      <xdr:spPr>
        <a:xfrm>
          <a:off x="5372100" y="12126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821</xdr:row>
      <xdr:rowOff>0</xdr:rowOff>
    </xdr:from>
    <xdr:to>
      <xdr:col>14</xdr:col>
      <xdr:colOff>83820</xdr:colOff>
      <xdr:row>821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84796CE-AAAD-4D9C-BF81-F648E6636214}"/>
            </a:ext>
          </a:extLst>
        </xdr:cNvPr>
        <xdr:cNvSpPr/>
      </xdr:nvSpPr>
      <xdr:spPr>
        <a:xfrm>
          <a:off x="5372100" y="12199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826</xdr:row>
      <xdr:rowOff>0</xdr:rowOff>
    </xdr:from>
    <xdr:to>
      <xdr:col>14</xdr:col>
      <xdr:colOff>83820</xdr:colOff>
      <xdr:row>826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8DC0EF8D-F5EE-4BD9-8AC7-A2C343C2A3A7}"/>
            </a:ext>
          </a:extLst>
        </xdr:cNvPr>
        <xdr:cNvSpPr/>
      </xdr:nvSpPr>
      <xdr:spPr>
        <a:xfrm>
          <a:off x="5372100" y="122727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829</xdr:row>
      <xdr:rowOff>0</xdr:rowOff>
    </xdr:from>
    <xdr:to>
      <xdr:col>14</xdr:col>
      <xdr:colOff>83820</xdr:colOff>
      <xdr:row>829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3B94B4E3-1159-472E-8677-BB8635A48D00}"/>
            </a:ext>
          </a:extLst>
        </xdr:cNvPr>
        <xdr:cNvSpPr/>
      </xdr:nvSpPr>
      <xdr:spPr>
        <a:xfrm>
          <a:off x="5372100" y="12327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830</xdr:row>
      <xdr:rowOff>0</xdr:rowOff>
    </xdr:from>
    <xdr:to>
      <xdr:col>14</xdr:col>
      <xdr:colOff>83820</xdr:colOff>
      <xdr:row>830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B39620CB-B8D9-473C-9060-6A7A0EBB55CF}"/>
            </a:ext>
          </a:extLst>
        </xdr:cNvPr>
        <xdr:cNvSpPr/>
      </xdr:nvSpPr>
      <xdr:spPr>
        <a:xfrm>
          <a:off x="5372100" y="12345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831</xdr:row>
      <xdr:rowOff>0</xdr:rowOff>
    </xdr:from>
    <xdr:to>
      <xdr:col>14</xdr:col>
      <xdr:colOff>83820</xdr:colOff>
      <xdr:row>831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06F6B309-0EDE-4B07-BD52-DC2CFAA40A81}"/>
            </a:ext>
          </a:extLst>
        </xdr:cNvPr>
        <xdr:cNvSpPr/>
      </xdr:nvSpPr>
      <xdr:spPr>
        <a:xfrm>
          <a:off x="5372100" y="12364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827</xdr:row>
      <xdr:rowOff>0</xdr:rowOff>
    </xdr:from>
    <xdr:to>
      <xdr:col>14</xdr:col>
      <xdr:colOff>83820</xdr:colOff>
      <xdr:row>827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9E021184-4F31-4312-ADBD-C27A80EE5D9B}"/>
            </a:ext>
          </a:extLst>
        </xdr:cNvPr>
        <xdr:cNvSpPr/>
      </xdr:nvSpPr>
      <xdr:spPr>
        <a:xfrm rot="10800000">
          <a:off x="5372100" y="12309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825</xdr:row>
      <xdr:rowOff>0</xdr:rowOff>
    </xdr:from>
    <xdr:to>
      <xdr:col>14</xdr:col>
      <xdr:colOff>83820</xdr:colOff>
      <xdr:row>825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7AD8AEE1-652B-446C-BD25-5CEBB82EA511}"/>
            </a:ext>
          </a:extLst>
        </xdr:cNvPr>
        <xdr:cNvSpPr/>
      </xdr:nvSpPr>
      <xdr:spPr>
        <a:xfrm rot="10800000">
          <a:off x="5372100" y="12272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828</xdr:row>
      <xdr:rowOff>0</xdr:rowOff>
    </xdr:from>
    <xdr:to>
      <xdr:col>14</xdr:col>
      <xdr:colOff>83820</xdr:colOff>
      <xdr:row>828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95FFDB21-E78C-4273-A633-B5CCB36D148C}"/>
            </a:ext>
          </a:extLst>
        </xdr:cNvPr>
        <xdr:cNvSpPr/>
      </xdr:nvSpPr>
      <xdr:spPr>
        <a:xfrm rot="10800000">
          <a:off x="5372100" y="123276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834</xdr:row>
      <xdr:rowOff>0</xdr:rowOff>
    </xdr:from>
    <xdr:to>
      <xdr:col>14</xdr:col>
      <xdr:colOff>83820</xdr:colOff>
      <xdr:row>834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733D93DF-73D9-4965-9411-46CF8D68E65A}"/>
            </a:ext>
          </a:extLst>
        </xdr:cNvPr>
        <xdr:cNvSpPr/>
      </xdr:nvSpPr>
      <xdr:spPr>
        <a:xfrm>
          <a:off x="5372100" y="12419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837</xdr:row>
      <xdr:rowOff>0</xdr:rowOff>
    </xdr:from>
    <xdr:to>
      <xdr:col>14</xdr:col>
      <xdr:colOff>83820</xdr:colOff>
      <xdr:row>837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0EB13EF-F3EE-4C1D-8B2F-C7C4673FAB01}"/>
            </a:ext>
          </a:extLst>
        </xdr:cNvPr>
        <xdr:cNvSpPr/>
      </xdr:nvSpPr>
      <xdr:spPr>
        <a:xfrm>
          <a:off x="5372100" y="12473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838</xdr:row>
      <xdr:rowOff>0</xdr:rowOff>
    </xdr:from>
    <xdr:to>
      <xdr:col>14</xdr:col>
      <xdr:colOff>83820</xdr:colOff>
      <xdr:row>838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8C428D35-D97D-42CF-98D1-7C2060D30DC6}"/>
            </a:ext>
          </a:extLst>
        </xdr:cNvPr>
        <xdr:cNvSpPr/>
      </xdr:nvSpPr>
      <xdr:spPr>
        <a:xfrm>
          <a:off x="5372100" y="1249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832</xdr:row>
      <xdr:rowOff>0</xdr:rowOff>
    </xdr:from>
    <xdr:to>
      <xdr:col>14</xdr:col>
      <xdr:colOff>83820</xdr:colOff>
      <xdr:row>832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65C6DB2A-FB35-4FD2-95B2-89DD27E5B332}"/>
            </a:ext>
          </a:extLst>
        </xdr:cNvPr>
        <xdr:cNvSpPr/>
      </xdr:nvSpPr>
      <xdr:spPr>
        <a:xfrm rot="10800000">
          <a:off x="5372100" y="12400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836</xdr:row>
      <xdr:rowOff>0</xdr:rowOff>
    </xdr:from>
    <xdr:to>
      <xdr:col>14</xdr:col>
      <xdr:colOff>83820</xdr:colOff>
      <xdr:row>836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F351CB62-6025-498A-85B5-67643ADA0B11}"/>
            </a:ext>
          </a:extLst>
        </xdr:cNvPr>
        <xdr:cNvSpPr/>
      </xdr:nvSpPr>
      <xdr:spPr>
        <a:xfrm rot="10800000">
          <a:off x="5372100" y="1247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833</xdr:row>
      <xdr:rowOff>0</xdr:rowOff>
    </xdr:from>
    <xdr:to>
      <xdr:col>14</xdr:col>
      <xdr:colOff>83820</xdr:colOff>
      <xdr:row>833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C31B2EA7-E88E-498A-90E9-D3BE273DC148}"/>
            </a:ext>
          </a:extLst>
        </xdr:cNvPr>
        <xdr:cNvSpPr/>
      </xdr:nvSpPr>
      <xdr:spPr>
        <a:xfrm rot="10800000">
          <a:off x="5372100" y="12419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835</xdr:row>
      <xdr:rowOff>0</xdr:rowOff>
    </xdr:from>
    <xdr:to>
      <xdr:col>14</xdr:col>
      <xdr:colOff>83820</xdr:colOff>
      <xdr:row>835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B5543364-4103-48E2-B020-88893AD1544D}"/>
            </a:ext>
          </a:extLst>
        </xdr:cNvPr>
        <xdr:cNvSpPr/>
      </xdr:nvSpPr>
      <xdr:spPr>
        <a:xfrm rot="10800000">
          <a:off x="5372100" y="124556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840</xdr:row>
      <xdr:rowOff>0</xdr:rowOff>
    </xdr:from>
    <xdr:to>
      <xdr:col>14</xdr:col>
      <xdr:colOff>83820</xdr:colOff>
      <xdr:row>840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5C8535D0-FF5E-415D-8959-8507B6AFA8B1}"/>
            </a:ext>
          </a:extLst>
        </xdr:cNvPr>
        <xdr:cNvSpPr/>
      </xdr:nvSpPr>
      <xdr:spPr>
        <a:xfrm>
          <a:off x="5372100" y="1252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844</xdr:row>
      <xdr:rowOff>0</xdr:rowOff>
    </xdr:from>
    <xdr:to>
      <xdr:col>14</xdr:col>
      <xdr:colOff>83820</xdr:colOff>
      <xdr:row>844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2CA9B5E-5933-41AD-9C45-7A0C823578F5}"/>
            </a:ext>
          </a:extLst>
        </xdr:cNvPr>
        <xdr:cNvSpPr/>
      </xdr:nvSpPr>
      <xdr:spPr>
        <a:xfrm>
          <a:off x="5372100" y="12601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845</xdr:row>
      <xdr:rowOff>0</xdr:rowOff>
    </xdr:from>
    <xdr:to>
      <xdr:col>14</xdr:col>
      <xdr:colOff>83820</xdr:colOff>
      <xdr:row>845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885D8478-C381-4A8E-9EC1-F3FD1E7D68C3}"/>
            </a:ext>
          </a:extLst>
        </xdr:cNvPr>
        <xdr:cNvSpPr/>
      </xdr:nvSpPr>
      <xdr:spPr>
        <a:xfrm>
          <a:off x="5372100" y="12620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846</xdr:row>
      <xdr:rowOff>0</xdr:rowOff>
    </xdr:from>
    <xdr:to>
      <xdr:col>14</xdr:col>
      <xdr:colOff>83820</xdr:colOff>
      <xdr:row>846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330813AE-6300-4D03-8E37-6E203918684F}"/>
            </a:ext>
          </a:extLst>
        </xdr:cNvPr>
        <xdr:cNvSpPr/>
      </xdr:nvSpPr>
      <xdr:spPr>
        <a:xfrm>
          <a:off x="5372100" y="12638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848</xdr:row>
      <xdr:rowOff>0</xdr:rowOff>
    </xdr:from>
    <xdr:to>
      <xdr:col>14</xdr:col>
      <xdr:colOff>83820</xdr:colOff>
      <xdr:row>848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D9F5A1EC-8F81-45F4-BD40-BF552B2A9E3D}"/>
            </a:ext>
          </a:extLst>
        </xdr:cNvPr>
        <xdr:cNvSpPr/>
      </xdr:nvSpPr>
      <xdr:spPr>
        <a:xfrm>
          <a:off x="5372100" y="1267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851</xdr:row>
      <xdr:rowOff>0</xdr:rowOff>
    </xdr:from>
    <xdr:to>
      <xdr:col>14</xdr:col>
      <xdr:colOff>83820</xdr:colOff>
      <xdr:row>851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C05EB268-CC04-4624-AF5A-85E7DC195DB5}"/>
            </a:ext>
          </a:extLst>
        </xdr:cNvPr>
        <xdr:cNvSpPr/>
      </xdr:nvSpPr>
      <xdr:spPr>
        <a:xfrm>
          <a:off x="5425440" y="12729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839</xdr:row>
      <xdr:rowOff>0</xdr:rowOff>
    </xdr:from>
    <xdr:to>
      <xdr:col>14</xdr:col>
      <xdr:colOff>83820</xdr:colOff>
      <xdr:row>839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53845167-9E80-4C72-822B-5BB84BCE09DF}"/>
            </a:ext>
          </a:extLst>
        </xdr:cNvPr>
        <xdr:cNvSpPr/>
      </xdr:nvSpPr>
      <xdr:spPr>
        <a:xfrm rot="10800000">
          <a:off x="5425440" y="12528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849</xdr:row>
      <xdr:rowOff>0</xdr:rowOff>
    </xdr:from>
    <xdr:to>
      <xdr:col>14</xdr:col>
      <xdr:colOff>83820</xdr:colOff>
      <xdr:row>849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D1D40ED5-63A4-4AF0-B954-FD78965C0EE5}"/>
            </a:ext>
          </a:extLst>
        </xdr:cNvPr>
        <xdr:cNvSpPr/>
      </xdr:nvSpPr>
      <xdr:spPr>
        <a:xfrm rot="10800000">
          <a:off x="5425440" y="127116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841</xdr:row>
      <xdr:rowOff>0</xdr:rowOff>
    </xdr:from>
    <xdr:to>
      <xdr:col>14</xdr:col>
      <xdr:colOff>83820</xdr:colOff>
      <xdr:row>841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65F92E32-72C9-4083-A43C-DCC16B26B2DF}"/>
            </a:ext>
          </a:extLst>
        </xdr:cNvPr>
        <xdr:cNvSpPr/>
      </xdr:nvSpPr>
      <xdr:spPr>
        <a:xfrm rot="10800000">
          <a:off x="5425440" y="125653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847</xdr:row>
      <xdr:rowOff>0</xdr:rowOff>
    </xdr:from>
    <xdr:to>
      <xdr:col>14</xdr:col>
      <xdr:colOff>83820</xdr:colOff>
      <xdr:row>847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40A17D8-136A-4FA2-B14D-E52681AE5674}"/>
            </a:ext>
          </a:extLst>
        </xdr:cNvPr>
        <xdr:cNvSpPr/>
      </xdr:nvSpPr>
      <xdr:spPr>
        <a:xfrm rot="10800000">
          <a:off x="5425440" y="12675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842</xdr:row>
      <xdr:rowOff>0</xdr:rowOff>
    </xdr:from>
    <xdr:to>
      <xdr:col>14</xdr:col>
      <xdr:colOff>83820</xdr:colOff>
      <xdr:row>842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D63916F9-9623-431E-9F88-F36E4BEE8A04}"/>
            </a:ext>
          </a:extLst>
        </xdr:cNvPr>
        <xdr:cNvSpPr/>
      </xdr:nvSpPr>
      <xdr:spPr>
        <a:xfrm rot="10800000">
          <a:off x="5425440" y="12583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850</xdr:row>
      <xdr:rowOff>0</xdr:rowOff>
    </xdr:from>
    <xdr:to>
      <xdr:col>14</xdr:col>
      <xdr:colOff>83820</xdr:colOff>
      <xdr:row>850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4C72BAA0-E633-4A2A-8FE9-BF2AD41D9AD2}"/>
            </a:ext>
          </a:extLst>
        </xdr:cNvPr>
        <xdr:cNvSpPr/>
      </xdr:nvSpPr>
      <xdr:spPr>
        <a:xfrm rot="10800000">
          <a:off x="5425440" y="1272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843</xdr:row>
      <xdr:rowOff>0</xdr:rowOff>
    </xdr:from>
    <xdr:to>
      <xdr:col>14</xdr:col>
      <xdr:colOff>83820</xdr:colOff>
      <xdr:row>843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C54AD846-9F72-41C4-8A7A-C8DEF55719F3}"/>
            </a:ext>
          </a:extLst>
        </xdr:cNvPr>
        <xdr:cNvSpPr/>
      </xdr:nvSpPr>
      <xdr:spPr>
        <a:xfrm rot="10800000">
          <a:off x="5425440" y="12601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852</xdr:row>
      <xdr:rowOff>0</xdr:rowOff>
    </xdr:from>
    <xdr:to>
      <xdr:col>14</xdr:col>
      <xdr:colOff>83820</xdr:colOff>
      <xdr:row>852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22C008CD-A8CD-485D-AEA2-E72ACBA2ED1C}"/>
            </a:ext>
          </a:extLst>
        </xdr:cNvPr>
        <xdr:cNvSpPr/>
      </xdr:nvSpPr>
      <xdr:spPr>
        <a:xfrm>
          <a:off x="5425440" y="1276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450</xdr:row>
      <xdr:rowOff>0</xdr:rowOff>
    </xdr:from>
    <xdr:to>
      <xdr:col>28</xdr:col>
      <xdr:colOff>83820</xdr:colOff>
      <xdr:row>450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1712D9BF-F938-4626-B1C6-700C2145A292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451</xdr:row>
      <xdr:rowOff>0</xdr:rowOff>
    </xdr:from>
    <xdr:to>
      <xdr:col>28</xdr:col>
      <xdr:colOff>83820</xdr:colOff>
      <xdr:row>451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1F92FE58-7947-4867-8E64-E7BB29BBE7A4}"/>
            </a:ext>
          </a:extLst>
        </xdr:cNvPr>
        <xdr:cNvSpPr/>
      </xdr:nvSpPr>
      <xdr:spPr>
        <a:xfrm rot="10800000">
          <a:off x="11803380" y="66758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452</xdr:row>
      <xdr:rowOff>0</xdr:rowOff>
    </xdr:from>
    <xdr:to>
      <xdr:col>28</xdr:col>
      <xdr:colOff>83820</xdr:colOff>
      <xdr:row>452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1BD26300-EA48-4BF0-9CAA-68DBDEF4F79D}"/>
            </a:ext>
          </a:extLst>
        </xdr:cNvPr>
        <xdr:cNvSpPr/>
      </xdr:nvSpPr>
      <xdr:spPr>
        <a:xfrm rot="10800000">
          <a:off x="11803380" y="66941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453</xdr:row>
      <xdr:rowOff>0</xdr:rowOff>
    </xdr:from>
    <xdr:to>
      <xdr:col>28</xdr:col>
      <xdr:colOff>83820</xdr:colOff>
      <xdr:row>453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B9005C7F-5CFB-45F3-BA2E-F263AA869257}"/>
            </a:ext>
          </a:extLst>
        </xdr:cNvPr>
        <xdr:cNvSpPr/>
      </xdr:nvSpPr>
      <xdr:spPr>
        <a:xfrm rot="10800000">
          <a:off x="11803380" y="6712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454</xdr:row>
      <xdr:rowOff>0</xdr:rowOff>
    </xdr:from>
    <xdr:to>
      <xdr:col>28</xdr:col>
      <xdr:colOff>83820</xdr:colOff>
      <xdr:row>454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F6E693C5-DD07-40B0-A5DE-7E944BFC8034}"/>
            </a:ext>
          </a:extLst>
        </xdr:cNvPr>
        <xdr:cNvSpPr/>
      </xdr:nvSpPr>
      <xdr:spPr>
        <a:xfrm rot="10800000">
          <a:off x="11803380" y="67307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455</xdr:row>
      <xdr:rowOff>0</xdr:rowOff>
    </xdr:from>
    <xdr:to>
      <xdr:col>28</xdr:col>
      <xdr:colOff>83820</xdr:colOff>
      <xdr:row>455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2425F973-453E-4BD0-8583-49C7EBBD399A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456</xdr:row>
      <xdr:rowOff>0</xdr:rowOff>
    </xdr:from>
    <xdr:to>
      <xdr:col>28</xdr:col>
      <xdr:colOff>83820</xdr:colOff>
      <xdr:row>456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5803ED72-9F49-4AE2-9571-45A7AE898DD1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457</xdr:row>
      <xdr:rowOff>0</xdr:rowOff>
    </xdr:from>
    <xdr:to>
      <xdr:col>28</xdr:col>
      <xdr:colOff>83820</xdr:colOff>
      <xdr:row>457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D5DB9453-CB73-4583-88D6-D7F30CE5ACE3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458</xdr:row>
      <xdr:rowOff>0</xdr:rowOff>
    </xdr:from>
    <xdr:to>
      <xdr:col>28</xdr:col>
      <xdr:colOff>83820</xdr:colOff>
      <xdr:row>458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9F14A4EA-2B76-4EA0-8E12-1A90BF4FB361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459</xdr:row>
      <xdr:rowOff>0</xdr:rowOff>
    </xdr:from>
    <xdr:to>
      <xdr:col>28</xdr:col>
      <xdr:colOff>83820</xdr:colOff>
      <xdr:row>459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58A4DC36-A44D-45CC-8428-1A2BF38A192A}"/>
            </a:ext>
          </a:extLst>
        </xdr:cNvPr>
        <xdr:cNvSpPr/>
      </xdr:nvSpPr>
      <xdr:spPr>
        <a:xfrm rot="10800000">
          <a:off x="11803380" y="68221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460</xdr:row>
      <xdr:rowOff>0</xdr:rowOff>
    </xdr:from>
    <xdr:to>
      <xdr:col>28</xdr:col>
      <xdr:colOff>83820</xdr:colOff>
      <xdr:row>460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F63A749D-DA54-4E7D-9BE4-715F6D6D00E5}"/>
            </a:ext>
          </a:extLst>
        </xdr:cNvPr>
        <xdr:cNvSpPr/>
      </xdr:nvSpPr>
      <xdr:spPr>
        <a:xfrm rot="10800000">
          <a:off x="11803380" y="6840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461</xdr:row>
      <xdr:rowOff>0</xdr:rowOff>
    </xdr:from>
    <xdr:to>
      <xdr:col>28</xdr:col>
      <xdr:colOff>83820</xdr:colOff>
      <xdr:row>461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96A8284A-F1A3-4713-97D6-B1C3B66C094F}"/>
            </a:ext>
          </a:extLst>
        </xdr:cNvPr>
        <xdr:cNvSpPr/>
      </xdr:nvSpPr>
      <xdr:spPr>
        <a:xfrm rot="10800000">
          <a:off x="11803380" y="68587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462</xdr:row>
      <xdr:rowOff>0</xdr:rowOff>
    </xdr:from>
    <xdr:to>
      <xdr:col>28</xdr:col>
      <xdr:colOff>83820</xdr:colOff>
      <xdr:row>462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FFCC91F8-D871-402E-ADF3-4754A67F47DB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463</xdr:row>
      <xdr:rowOff>0</xdr:rowOff>
    </xdr:from>
    <xdr:to>
      <xdr:col>28</xdr:col>
      <xdr:colOff>83820</xdr:colOff>
      <xdr:row>463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5DEE751F-DDAA-4B95-B853-F77C5392B21A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464</xdr:row>
      <xdr:rowOff>0</xdr:rowOff>
    </xdr:from>
    <xdr:to>
      <xdr:col>28</xdr:col>
      <xdr:colOff>83820</xdr:colOff>
      <xdr:row>464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170A4D9C-B01D-4DA2-A194-BFA028B1E03C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465</xdr:row>
      <xdr:rowOff>0</xdr:rowOff>
    </xdr:from>
    <xdr:to>
      <xdr:col>28</xdr:col>
      <xdr:colOff>83820</xdr:colOff>
      <xdr:row>465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F989F123-2829-4677-A99C-B3FC8FD12005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466</xdr:row>
      <xdr:rowOff>0</xdr:rowOff>
    </xdr:from>
    <xdr:to>
      <xdr:col>28</xdr:col>
      <xdr:colOff>83820</xdr:colOff>
      <xdr:row>466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8ABBCD0-26D9-4F09-9183-8EAAD57BE2EA}"/>
            </a:ext>
          </a:extLst>
        </xdr:cNvPr>
        <xdr:cNvSpPr/>
      </xdr:nvSpPr>
      <xdr:spPr>
        <a:xfrm rot="10800000">
          <a:off x="11803380" y="6950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467</xdr:row>
      <xdr:rowOff>0</xdr:rowOff>
    </xdr:from>
    <xdr:to>
      <xdr:col>28</xdr:col>
      <xdr:colOff>83820</xdr:colOff>
      <xdr:row>467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102A4AD-37CB-417A-AE90-C0936AB5B2A1}"/>
            </a:ext>
          </a:extLst>
        </xdr:cNvPr>
        <xdr:cNvSpPr/>
      </xdr:nvSpPr>
      <xdr:spPr>
        <a:xfrm rot="10800000">
          <a:off x="11803380" y="6968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468</xdr:row>
      <xdr:rowOff>0</xdr:rowOff>
    </xdr:from>
    <xdr:to>
      <xdr:col>28</xdr:col>
      <xdr:colOff>83820</xdr:colOff>
      <xdr:row>468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F12021B7-ED7C-4F91-BF9A-E35A77050FDF}"/>
            </a:ext>
          </a:extLst>
        </xdr:cNvPr>
        <xdr:cNvSpPr/>
      </xdr:nvSpPr>
      <xdr:spPr>
        <a:xfrm rot="10800000">
          <a:off x="11803380" y="6986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469</xdr:row>
      <xdr:rowOff>0</xdr:rowOff>
    </xdr:from>
    <xdr:to>
      <xdr:col>28</xdr:col>
      <xdr:colOff>83820</xdr:colOff>
      <xdr:row>469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2EE4894B-23AF-4976-930B-F1051A72D985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470</xdr:row>
      <xdr:rowOff>0</xdr:rowOff>
    </xdr:from>
    <xdr:to>
      <xdr:col>28</xdr:col>
      <xdr:colOff>83820</xdr:colOff>
      <xdr:row>470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1E891FC1-0200-4D6F-86FE-44E26FDD475B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471</xdr:row>
      <xdr:rowOff>0</xdr:rowOff>
    </xdr:from>
    <xdr:to>
      <xdr:col>28</xdr:col>
      <xdr:colOff>83820</xdr:colOff>
      <xdr:row>471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29776FC6-66DC-4089-BDB0-8725D0239177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472</xdr:row>
      <xdr:rowOff>0</xdr:rowOff>
    </xdr:from>
    <xdr:to>
      <xdr:col>28</xdr:col>
      <xdr:colOff>83820</xdr:colOff>
      <xdr:row>472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78746BC8-C6D8-46A5-B7A4-57178A0032C1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473</xdr:row>
      <xdr:rowOff>0</xdr:rowOff>
    </xdr:from>
    <xdr:to>
      <xdr:col>28</xdr:col>
      <xdr:colOff>83820</xdr:colOff>
      <xdr:row>473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77337BCE-4468-46B3-9F06-D75803466722}"/>
            </a:ext>
          </a:extLst>
        </xdr:cNvPr>
        <xdr:cNvSpPr/>
      </xdr:nvSpPr>
      <xdr:spPr>
        <a:xfrm rot="10800000">
          <a:off x="11803380" y="70782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474</xdr:row>
      <xdr:rowOff>0</xdr:rowOff>
    </xdr:from>
    <xdr:to>
      <xdr:col>28</xdr:col>
      <xdr:colOff>83820</xdr:colOff>
      <xdr:row>474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48ACB295-E4B7-4F51-AE19-25719825DB1B}"/>
            </a:ext>
          </a:extLst>
        </xdr:cNvPr>
        <xdr:cNvSpPr/>
      </xdr:nvSpPr>
      <xdr:spPr>
        <a:xfrm rot="10800000">
          <a:off x="11803380" y="7096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475</xdr:row>
      <xdr:rowOff>0</xdr:rowOff>
    </xdr:from>
    <xdr:to>
      <xdr:col>28</xdr:col>
      <xdr:colOff>83820</xdr:colOff>
      <xdr:row>475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EE0E0548-6DD7-4054-839D-5962A75CE40A}"/>
            </a:ext>
          </a:extLst>
        </xdr:cNvPr>
        <xdr:cNvSpPr/>
      </xdr:nvSpPr>
      <xdr:spPr>
        <a:xfrm rot="10800000">
          <a:off x="11803380" y="7114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476</xdr:row>
      <xdr:rowOff>0</xdr:rowOff>
    </xdr:from>
    <xdr:to>
      <xdr:col>28</xdr:col>
      <xdr:colOff>83820</xdr:colOff>
      <xdr:row>476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01147310-E630-4181-AF9D-C6B7B6F64A16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477</xdr:row>
      <xdr:rowOff>0</xdr:rowOff>
    </xdr:from>
    <xdr:to>
      <xdr:col>28</xdr:col>
      <xdr:colOff>83820</xdr:colOff>
      <xdr:row>477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4883D479-8D8D-4338-920A-4D08EC8800E4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478</xdr:row>
      <xdr:rowOff>0</xdr:rowOff>
    </xdr:from>
    <xdr:to>
      <xdr:col>28</xdr:col>
      <xdr:colOff>83820</xdr:colOff>
      <xdr:row>478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70AB941B-515F-4BE5-9F11-935579146680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479</xdr:row>
      <xdr:rowOff>0</xdr:rowOff>
    </xdr:from>
    <xdr:to>
      <xdr:col>28</xdr:col>
      <xdr:colOff>83820</xdr:colOff>
      <xdr:row>479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9CA904F3-0A1C-4A06-9DBD-E145ECC9AFD6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480</xdr:row>
      <xdr:rowOff>0</xdr:rowOff>
    </xdr:from>
    <xdr:to>
      <xdr:col>28</xdr:col>
      <xdr:colOff>83820</xdr:colOff>
      <xdr:row>480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480272BB-108E-4AAE-9738-42D4EDF6BDCC}"/>
            </a:ext>
          </a:extLst>
        </xdr:cNvPr>
        <xdr:cNvSpPr/>
      </xdr:nvSpPr>
      <xdr:spPr>
        <a:xfrm rot="10800000">
          <a:off x="11803380" y="7206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481</xdr:row>
      <xdr:rowOff>0</xdr:rowOff>
    </xdr:from>
    <xdr:to>
      <xdr:col>28</xdr:col>
      <xdr:colOff>83820</xdr:colOff>
      <xdr:row>481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21320805-E1E4-40F9-8405-22B70BE27B63}"/>
            </a:ext>
          </a:extLst>
        </xdr:cNvPr>
        <xdr:cNvSpPr/>
      </xdr:nvSpPr>
      <xdr:spPr>
        <a:xfrm rot="10800000">
          <a:off x="11803380" y="72245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482</xdr:row>
      <xdr:rowOff>0</xdr:rowOff>
    </xdr:from>
    <xdr:to>
      <xdr:col>28</xdr:col>
      <xdr:colOff>83820</xdr:colOff>
      <xdr:row>482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FCF6149B-A675-4B39-9846-80635A190A5E}"/>
            </a:ext>
          </a:extLst>
        </xdr:cNvPr>
        <xdr:cNvSpPr/>
      </xdr:nvSpPr>
      <xdr:spPr>
        <a:xfrm rot="10800000">
          <a:off x="11803380" y="7242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483</xdr:row>
      <xdr:rowOff>0</xdr:rowOff>
    </xdr:from>
    <xdr:to>
      <xdr:col>28</xdr:col>
      <xdr:colOff>83820</xdr:colOff>
      <xdr:row>483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6FDF3C04-DAF0-4B5C-A53C-3156E20584A3}"/>
            </a:ext>
          </a:extLst>
        </xdr:cNvPr>
        <xdr:cNvSpPr/>
      </xdr:nvSpPr>
      <xdr:spPr>
        <a:xfrm>
          <a:off x="11803380" y="7279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484</xdr:row>
      <xdr:rowOff>0</xdr:rowOff>
    </xdr:from>
    <xdr:to>
      <xdr:col>28</xdr:col>
      <xdr:colOff>83820</xdr:colOff>
      <xdr:row>484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D03FA030-E9DF-4397-B5CC-9D4BEAF7144D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485</xdr:row>
      <xdr:rowOff>0</xdr:rowOff>
    </xdr:from>
    <xdr:to>
      <xdr:col>28</xdr:col>
      <xdr:colOff>83820</xdr:colOff>
      <xdr:row>485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8FCEC8DF-6407-4557-BB32-B47CB0746947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486</xdr:row>
      <xdr:rowOff>0</xdr:rowOff>
    </xdr:from>
    <xdr:to>
      <xdr:col>28</xdr:col>
      <xdr:colOff>83820</xdr:colOff>
      <xdr:row>486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7204731-5F67-4831-8D5C-373B1DD7D359}"/>
            </a:ext>
          </a:extLst>
        </xdr:cNvPr>
        <xdr:cNvSpPr/>
      </xdr:nvSpPr>
      <xdr:spPr>
        <a:xfrm rot="10800000">
          <a:off x="11803380" y="73159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487</xdr:row>
      <xdr:rowOff>0</xdr:rowOff>
    </xdr:from>
    <xdr:to>
      <xdr:col>28</xdr:col>
      <xdr:colOff>83820</xdr:colOff>
      <xdr:row>487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7ADF66DE-B495-4D70-B120-FCA7C76F9ADD}"/>
            </a:ext>
          </a:extLst>
        </xdr:cNvPr>
        <xdr:cNvSpPr/>
      </xdr:nvSpPr>
      <xdr:spPr>
        <a:xfrm rot="10800000">
          <a:off x="11803380" y="7334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488</xdr:row>
      <xdr:rowOff>0</xdr:rowOff>
    </xdr:from>
    <xdr:to>
      <xdr:col>28</xdr:col>
      <xdr:colOff>83820</xdr:colOff>
      <xdr:row>488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7763893C-B5AF-4907-882E-396381ED98AC}"/>
            </a:ext>
          </a:extLst>
        </xdr:cNvPr>
        <xdr:cNvSpPr/>
      </xdr:nvSpPr>
      <xdr:spPr>
        <a:xfrm rot="10800000">
          <a:off x="11803380" y="7352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489</xdr:row>
      <xdr:rowOff>0</xdr:rowOff>
    </xdr:from>
    <xdr:to>
      <xdr:col>28</xdr:col>
      <xdr:colOff>83820</xdr:colOff>
      <xdr:row>489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A4FCFCCA-F475-402F-AED7-362EECD25C25}"/>
            </a:ext>
          </a:extLst>
        </xdr:cNvPr>
        <xdr:cNvSpPr/>
      </xdr:nvSpPr>
      <xdr:spPr>
        <a:xfrm rot="10800000">
          <a:off x="11803380" y="7370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490</xdr:row>
      <xdr:rowOff>0</xdr:rowOff>
    </xdr:from>
    <xdr:to>
      <xdr:col>28</xdr:col>
      <xdr:colOff>83820</xdr:colOff>
      <xdr:row>490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F2ECFC81-AAEB-4C0D-8059-778B29111E95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491</xdr:row>
      <xdr:rowOff>0</xdr:rowOff>
    </xdr:from>
    <xdr:to>
      <xdr:col>28</xdr:col>
      <xdr:colOff>83820</xdr:colOff>
      <xdr:row>491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6D92CDEE-057B-4486-B704-AE6CA7BE344B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492</xdr:row>
      <xdr:rowOff>0</xdr:rowOff>
    </xdr:from>
    <xdr:to>
      <xdr:col>28</xdr:col>
      <xdr:colOff>83820</xdr:colOff>
      <xdr:row>492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CB3E6FD-15AE-4349-89EA-46AE01CF1A7B}"/>
            </a:ext>
          </a:extLst>
        </xdr:cNvPr>
        <xdr:cNvSpPr/>
      </xdr:nvSpPr>
      <xdr:spPr>
        <a:xfrm rot="10800000">
          <a:off x="11803380" y="74439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493</xdr:row>
      <xdr:rowOff>0</xdr:rowOff>
    </xdr:from>
    <xdr:to>
      <xdr:col>28</xdr:col>
      <xdr:colOff>83820</xdr:colOff>
      <xdr:row>493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87B9B24-A1EA-4C35-9A97-3920780E2961}"/>
            </a:ext>
          </a:extLst>
        </xdr:cNvPr>
        <xdr:cNvSpPr/>
      </xdr:nvSpPr>
      <xdr:spPr>
        <a:xfrm rot="10800000">
          <a:off x="11803380" y="7462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494</xdr:row>
      <xdr:rowOff>0</xdr:rowOff>
    </xdr:from>
    <xdr:to>
      <xdr:col>28</xdr:col>
      <xdr:colOff>83820</xdr:colOff>
      <xdr:row>494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4C65D19-B9DE-4D4D-BEF8-54F332C15667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495</xdr:row>
      <xdr:rowOff>0</xdr:rowOff>
    </xdr:from>
    <xdr:to>
      <xdr:col>28</xdr:col>
      <xdr:colOff>83820</xdr:colOff>
      <xdr:row>495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425F7453-A2F2-4B50-A019-9E9D3F5E15A1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496</xdr:row>
      <xdr:rowOff>0</xdr:rowOff>
    </xdr:from>
    <xdr:to>
      <xdr:col>28</xdr:col>
      <xdr:colOff>83820</xdr:colOff>
      <xdr:row>496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37FEB8DA-6F44-456A-8CF2-270059E78919}"/>
            </a:ext>
          </a:extLst>
        </xdr:cNvPr>
        <xdr:cNvSpPr/>
      </xdr:nvSpPr>
      <xdr:spPr>
        <a:xfrm rot="10800000">
          <a:off x="11803380" y="7498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497</xdr:row>
      <xdr:rowOff>0</xdr:rowOff>
    </xdr:from>
    <xdr:to>
      <xdr:col>28</xdr:col>
      <xdr:colOff>83820</xdr:colOff>
      <xdr:row>497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378AC7EC-DAFA-41D8-9C39-05F354F1CB42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498</xdr:row>
      <xdr:rowOff>0</xdr:rowOff>
    </xdr:from>
    <xdr:to>
      <xdr:col>28</xdr:col>
      <xdr:colOff>83820</xdr:colOff>
      <xdr:row>498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3DEB3B0-990F-45A8-8547-ABC81657A207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499</xdr:row>
      <xdr:rowOff>0</xdr:rowOff>
    </xdr:from>
    <xdr:to>
      <xdr:col>28</xdr:col>
      <xdr:colOff>83820</xdr:colOff>
      <xdr:row>499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DA73C679-17C4-4E99-B9E6-615CDCD3543B}"/>
            </a:ext>
          </a:extLst>
        </xdr:cNvPr>
        <xdr:cNvSpPr/>
      </xdr:nvSpPr>
      <xdr:spPr>
        <a:xfrm rot="10800000">
          <a:off x="11803380" y="75719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500</xdr:row>
      <xdr:rowOff>0</xdr:rowOff>
    </xdr:from>
    <xdr:to>
      <xdr:col>28</xdr:col>
      <xdr:colOff>83820</xdr:colOff>
      <xdr:row>500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47B0BBB9-1367-40ED-84CD-2D36228F1F06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501</xdr:row>
      <xdr:rowOff>0</xdr:rowOff>
    </xdr:from>
    <xdr:to>
      <xdr:col>28</xdr:col>
      <xdr:colOff>83820</xdr:colOff>
      <xdr:row>501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B44BFE36-C0E3-4830-8509-F5B25A5AFB37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502</xdr:row>
      <xdr:rowOff>0</xdr:rowOff>
    </xdr:from>
    <xdr:to>
      <xdr:col>28</xdr:col>
      <xdr:colOff>83820</xdr:colOff>
      <xdr:row>502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13CDD4B8-2E20-4D06-B0E4-3FB2C7DEA660}"/>
            </a:ext>
          </a:extLst>
        </xdr:cNvPr>
        <xdr:cNvSpPr/>
      </xdr:nvSpPr>
      <xdr:spPr>
        <a:xfrm>
          <a:off x="11803380" y="7608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503</xdr:row>
      <xdr:rowOff>0</xdr:rowOff>
    </xdr:from>
    <xdr:to>
      <xdr:col>28</xdr:col>
      <xdr:colOff>83820</xdr:colOff>
      <xdr:row>503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C5811EF2-19FC-4F6F-804C-3EEECADE444D}"/>
            </a:ext>
          </a:extLst>
        </xdr:cNvPr>
        <xdr:cNvSpPr/>
      </xdr:nvSpPr>
      <xdr:spPr>
        <a:xfrm>
          <a:off x="11803380" y="7626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504</xdr:row>
      <xdr:rowOff>0</xdr:rowOff>
    </xdr:from>
    <xdr:to>
      <xdr:col>28</xdr:col>
      <xdr:colOff>83820</xdr:colOff>
      <xdr:row>504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967ACFE-DB87-4A7F-9A77-5AB91975261C}"/>
            </a:ext>
          </a:extLst>
        </xdr:cNvPr>
        <xdr:cNvSpPr/>
      </xdr:nvSpPr>
      <xdr:spPr>
        <a:xfrm>
          <a:off x="11803380" y="7645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505</xdr:row>
      <xdr:rowOff>0</xdr:rowOff>
    </xdr:from>
    <xdr:to>
      <xdr:col>28</xdr:col>
      <xdr:colOff>83820</xdr:colOff>
      <xdr:row>505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9065EA31-72FC-443C-9EC6-020469235F49}"/>
            </a:ext>
          </a:extLst>
        </xdr:cNvPr>
        <xdr:cNvSpPr/>
      </xdr:nvSpPr>
      <xdr:spPr>
        <a:xfrm>
          <a:off x="11803380" y="7663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506</xdr:row>
      <xdr:rowOff>0</xdr:rowOff>
    </xdr:from>
    <xdr:to>
      <xdr:col>28</xdr:col>
      <xdr:colOff>83820</xdr:colOff>
      <xdr:row>506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2A9FE5FE-FA46-4C64-8A41-BD78B865A705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507</xdr:row>
      <xdr:rowOff>0</xdr:rowOff>
    </xdr:from>
    <xdr:to>
      <xdr:col>28</xdr:col>
      <xdr:colOff>83820</xdr:colOff>
      <xdr:row>507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8D4DFB28-717F-4E6F-8EB0-589A728DEBFC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508</xdr:row>
      <xdr:rowOff>0</xdr:rowOff>
    </xdr:from>
    <xdr:to>
      <xdr:col>28</xdr:col>
      <xdr:colOff>83820</xdr:colOff>
      <xdr:row>508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ED2FCE58-516A-4265-8E16-089F18D8DCA4}"/>
            </a:ext>
          </a:extLst>
        </xdr:cNvPr>
        <xdr:cNvSpPr/>
      </xdr:nvSpPr>
      <xdr:spPr>
        <a:xfrm rot="10800000">
          <a:off x="11803380" y="77182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509</xdr:row>
      <xdr:rowOff>0</xdr:rowOff>
    </xdr:from>
    <xdr:to>
      <xdr:col>28</xdr:col>
      <xdr:colOff>83820</xdr:colOff>
      <xdr:row>509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FC60CD0D-C58E-43BD-93AB-3130D00A8245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510</xdr:row>
      <xdr:rowOff>0</xdr:rowOff>
    </xdr:from>
    <xdr:to>
      <xdr:col>28</xdr:col>
      <xdr:colOff>83820</xdr:colOff>
      <xdr:row>510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3FCAAE84-A441-4C8A-98D0-5E60BD7D2A22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511</xdr:row>
      <xdr:rowOff>0</xdr:rowOff>
    </xdr:from>
    <xdr:to>
      <xdr:col>28</xdr:col>
      <xdr:colOff>83820</xdr:colOff>
      <xdr:row>511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C6A13A33-8401-4312-B83A-E92D7075E545}"/>
            </a:ext>
          </a:extLst>
        </xdr:cNvPr>
        <xdr:cNvSpPr/>
      </xdr:nvSpPr>
      <xdr:spPr>
        <a:xfrm>
          <a:off x="11803380" y="7773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512</xdr:row>
      <xdr:rowOff>0</xdr:rowOff>
    </xdr:from>
    <xdr:to>
      <xdr:col>28</xdr:col>
      <xdr:colOff>83820</xdr:colOff>
      <xdr:row>512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8A53056A-60E0-4B20-8664-12B22EDFA76E}"/>
            </a:ext>
          </a:extLst>
        </xdr:cNvPr>
        <xdr:cNvSpPr/>
      </xdr:nvSpPr>
      <xdr:spPr>
        <a:xfrm>
          <a:off x="11803380" y="7791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513</xdr:row>
      <xdr:rowOff>0</xdr:rowOff>
    </xdr:from>
    <xdr:to>
      <xdr:col>28</xdr:col>
      <xdr:colOff>83820</xdr:colOff>
      <xdr:row>513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CC90868E-B63C-4377-8AB2-1D47B7AD6089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514</xdr:row>
      <xdr:rowOff>0</xdr:rowOff>
    </xdr:from>
    <xdr:to>
      <xdr:col>28</xdr:col>
      <xdr:colOff>83820</xdr:colOff>
      <xdr:row>514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595754B2-B24C-414A-84E2-518CE0C12FC2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515</xdr:row>
      <xdr:rowOff>0</xdr:rowOff>
    </xdr:from>
    <xdr:to>
      <xdr:col>28</xdr:col>
      <xdr:colOff>83820</xdr:colOff>
      <xdr:row>515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884B0218-83AF-4E4D-9CA1-73C317B6C617}"/>
            </a:ext>
          </a:extLst>
        </xdr:cNvPr>
        <xdr:cNvSpPr/>
      </xdr:nvSpPr>
      <xdr:spPr>
        <a:xfrm rot="10800000">
          <a:off x="11803380" y="7864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516</xdr:row>
      <xdr:rowOff>0</xdr:rowOff>
    </xdr:from>
    <xdr:to>
      <xdr:col>28</xdr:col>
      <xdr:colOff>83820</xdr:colOff>
      <xdr:row>516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7289FA6A-4A40-4EA3-A2FE-4826F9BC2B21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517</xdr:row>
      <xdr:rowOff>0</xdr:rowOff>
    </xdr:from>
    <xdr:to>
      <xdr:col>28</xdr:col>
      <xdr:colOff>83820</xdr:colOff>
      <xdr:row>517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F688BD6B-43D8-4F90-A50A-C77BA9990879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518</xdr:row>
      <xdr:rowOff>0</xdr:rowOff>
    </xdr:from>
    <xdr:to>
      <xdr:col>28</xdr:col>
      <xdr:colOff>83820</xdr:colOff>
      <xdr:row>518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6BA23C44-1022-4563-B1E2-0BFB4DDB8C41}"/>
            </a:ext>
          </a:extLst>
        </xdr:cNvPr>
        <xdr:cNvSpPr/>
      </xdr:nvSpPr>
      <xdr:spPr>
        <a:xfrm>
          <a:off x="11803380" y="7901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519</xdr:row>
      <xdr:rowOff>0</xdr:rowOff>
    </xdr:from>
    <xdr:to>
      <xdr:col>28</xdr:col>
      <xdr:colOff>83820</xdr:colOff>
      <xdr:row>519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0A7F2155-13F5-4738-ADF2-97726F90D388}"/>
            </a:ext>
          </a:extLst>
        </xdr:cNvPr>
        <xdr:cNvSpPr/>
      </xdr:nvSpPr>
      <xdr:spPr>
        <a:xfrm>
          <a:off x="11803380" y="7919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520</xdr:row>
      <xdr:rowOff>0</xdr:rowOff>
    </xdr:from>
    <xdr:to>
      <xdr:col>28</xdr:col>
      <xdr:colOff>83820</xdr:colOff>
      <xdr:row>520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9477EAC-2DC2-44BE-870E-065E45C6A35F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521</xdr:row>
      <xdr:rowOff>0</xdr:rowOff>
    </xdr:from>
    <xdr:to>
      <xdr:col>28</xdr:col>
      <xdr:colOff>83820</xdr:colOff>
      <xdr:row>521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58166B5C-065D-43BA-A7A0-051E9F99CA0B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522</xdr:row>
      <xdr:rowOff>0</xdr:rowOff>
    </xdr:from>
    <xdr:to>
      <xdr:col>28</xdr:col>
      <xdr:colOff>83820</xdr:colOff>
      <xdr:row>522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29BEF27D-9C82-4DF5-AB07-E6C9D7FEB574}"/>
            </a:ext>
          </a:extLst>
        </xdr:cNvPr>
        <xdr:cNvSpPr/>
      </xdr:nvSpPr>
      <xdr:spPr>
        <a:xfrm rot="10800000">
          <a:off x="11803380" y="79743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523</xdr:row>
      <xdr:rowOff>0</xdr:rowOff>
    </xdr:from>
    <xdr:to>
      <xdr:col>28</xdr:col>
      <xdr:colOff>83820</xdr:colOff>
      <xdr:row>523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7D1B270B-5FA8-4FE2-B5A0-8215AC5F514D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524</xdr:row>
      <xdr:rowOff>0</xdr:rowOff>
    </xdr:from>
    <xdr:to>
      <xdr:col>28</xdr:col>
      <xdr:colOff>83820</xdr:colOff>
      <xdr:row>524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7D6FEA29-FD3C-4B9C-8DDB-49E40D227103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525</xdr:row>
      <xdr:rowOff>0</xdr:rowOff>
    </xdr:from>
    <xdr:to>
      <xdr:col>28</xdr:col>
      <xdr:colOff>83820</xdr:colOff>
      <xdr:row>525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49103E75-D364-41D6-B546-5FB8BB3A721E}"/>
            </a:ext>
          </a:extLst>
        </xdr:cNvPr>
        <xdr:cNvSpPr/>
      </xdr:nvSpPr>
      <xdr:spPr>
        <a:xfrm>
          <a:off x="11803380" y="8029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526</xdr:row>
      <xdr:rowOff>0</xdr:rowOff>
    </xdr:from>
    <xdr:to>
      <xdr:col>28</xdr:col>
      <xdr:colOff>83820</xdr:colOff>
      <xdr:row>526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6C27F47C-D67B-4D36-9B88-01A8AC0A6B11}"/>
            </a:ext>
          </a:extLst>
        </xdr:cNvPr>
        <xdr:cNvSpPr/>
      </xdr:nvSpPr>
      <xdr:spPr>
        <a:xfrm>
          <a:off x="11803380" y="804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527</xdr:row>
      <xdr:rowOff>0</xdr:rowOff>
    </xdr:from>
    <xdr:to>
      <xdr:col>28</xdr:col>
      <xdr:colOff>83820</xdr:colOff>
      <xdr:row>527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6BC104BC-1345-4FA1-939D-6E3902BB6004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528</xdr:row>
      <xdr:rowOff>0</xdr:rowOff>
    </xdr:from>
    <xdr:to>
      <xdr:col>28</xdr:col>
      <xdr:colOff>83820</xdr:colOff>
      <xdr:row>528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FF82DA53-1E36-4CC7-B73D-B875AA28C77F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529</xdr:row>
      <xdr:rowOff>0</xdr:rowOff>
    </xdr:from>
    <xdr:to>
      <xdr:col>28</xdr:col>
      <xdr:colOff>83820</xdr:colOff>
      <xdr:row>529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0E5F949E-8BAC-480F-9EA4-D143C6CC3E9C}"/>
            </a:ext>
          </a:extLst>
        </xdr:cNvPr>
        <xdr:cNvSpPr/>
      </xdr:nvSpPr>
      <xdr:spPr>
        <a:xfrm rot="10800000">
          <a:off x="11803380" y="8102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530</xdr:row>
      <xdr:rowOff>0</xdr:rowOff>
    </xdr:from>
    <xdr:to>
      <xdr:col>28</xdr:col>
      <xdr:colOff>83820</xdr:colOff>
      <xdr:row>530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0C7F0812-A5C6-4E18-82B6-97839B211BDE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531</xdr:row>
      <xdr:rowOff>0</xdr:rowOff>
    </xdr:from>
    <xdr:to>
      <xdr:col>28</xdr:col>
      <xdr:colOff>83820</xdr:colOff>
      <xdr:row>531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1BAB6C0F-0679-4CBE-8498-378D1232F825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532</xdr:row>
      <xdr:rowOff>0</xdr:rowOff>
    </xdr:from>
    <xdr:to>
      <xdr:col>28</xdr:col>
      <xdr:colOff>83820</xdr:colOff>
      <xdr:row>532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045B6DF4-9F3E-4245-9D22-EB98BA15FDE7}"/>
            </a:ext>
          </a:extLst>
        </xdr:cNvPr>
        <xdr:cNvSpPr/>
      </xdr:nvSpPr>
      <xdr:spPr>
        <a:xfrm>
          <a:off x="11803380" y="8157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533</xdr:row>
      <xdr:rowOff>0</xdr:rowOff>
    </xdr:from>
    <xdr:to>
      <xdr:col>28</xdr:col>
      <xdr:colOff>83820</xdr:colOff>
      <xdr:row>533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CAED5B6D-C646-459C-9CB3-E95EC3B9389F}"/>
            </a:ext>
          </a:extLst>
        </xdr:cNvPr>
        <xdr:cNvSpPr/>
      </xdr:nvSpPr>
      <xdr:spPr>
        <a:xfrm>
          <a:off x="11803380" y="8175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534</xdr:row>
      <xdr:rowOff>0</xdr:rowOff>
    </xdr:from>
    <xdr:to>
      <xdr:col>28</xdr:col>
      <xdr:colOff>83820</xdr:colOff>
      <xdr:row>534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5C0D452-1175-45DA-ACE9-CCADC4EFA039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535</xdr:row>
      <xdr:rowOff>0</xdr:rowOff>
    </xdr:from>
    <xdr:to>
      <xdr:col>28</xdr:col>
      <xdr:colOff>83820</xdr:colOff>
      <xdr:row>535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760D77C0-C297-45F1-99D5-74E53CAC5C85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536</xdr:row>
      <xdr:rowOff>0</xdr:rowOff>
    </xdr:from>
    <xdr:to>
      <xdr:col>28</xdr:col>
      <xdr:colOff>83820</xdr:colOff>
      <xdr:row>536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E0FBB87-5626-434A-9EA1-852AAE055E06}"/>
            </a:ext>
          </a:extLst>
        </xdr:cNvPr>
        <xdr:cNvSpPr/>
      </xdr:nvSpPr>
      <xdr:spPr>
        <a:xfrm rot="10800000">
          <a:off x="11803380" y="8230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537</xdr:row>
      <xdr:rowOff>0</xdr:rowOff>
    </xdr:from>
    <xdr:to>
      <xdr:col>28</xdr:col>
      <xdr:colOff>83820</xdr:colOff>
      <xdr:row>537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D8E5EE2C-5DA9-40A3-BA68-ED7C6DD183E1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538</xdr:row>
      <xdr:rowOff>0</xdr:rowOff>
    </xdr:from>
    <xdr:to>
      <xdr:col>28</xdr:col>
      <xdr:colOff>83820</xdr:colOff>
      <xdr:row>538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1CD2F6F-A4E6-4708-8528-8621EB7B9459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539</xdr:row>
      <xdr:rowOff>0</xdr:rowOff>
    </xdr:from>
    <xdr:to>
      <xdr:col>28</xdr:col>
      <xdr:colOff>83820</xdr:colOff>
      <xdr:row>539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206A4DFE-034B-4554-AAF0-38C60301C345}"/>
            </a:ext>
          </a:extLst>
        </xdr:cNvPr>
        <xdr:cNvSpPr/>
      </xdr:nvSpPr>
      <xdr:spPr>
        <a:xfrm>
          <a:off x="11803380" y="8285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540</xdr:row>
      <xdr:rowOff>0</xdr:rowOff>
    </xdr:from>
    <xdr:to>
      <xdr:col>28</xdr:col>
      <xdr:colOff>83820</xdr:colOff>
      <xdr:row>540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F167E9F9-2E52-444B-83FB-02946939C350}"/>
            </a:ext>
          </a:extLst>
        </xdr:cNvPr>
        <xdr:cNvSpPr/>
      </xdr:nvSpPr>
      <xdr:spPr>
        <a:xfrm>
          <a:off x="11803380" y="8303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541</xdr:row>
      <xdr:rowOff>0</xdr:rowOff>
    </xdr:from>
    <xdr:to>
      <xdr:col>28</xdr:col>
      <xdr:colOff>83820</xdr:colOff>
      <xdr:row>541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2FB21F5-3551-4222-864F-770DBB2B5503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542</xdr:row>
      <xdr:rowOff>0</xdr:rowOff>
    </xdr:from>
    <xdr:to>
      <xdr:col>28</xdr:col>
      <xdr:colOff>83820</xdr:colOff>
      <xdr:row>542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4FD36632-6C60-4DF7-A632-8A7414F26384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543</xdr:row>
      <xdr:rowOff>0</xdr:rowOff>
    </xdr:from>
    <xdr:to>
      <xdr:col>28</xdr:col>
      <xdr:colOff>83820</xdr:colOff>
      <xdr:row>543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FCB1EEDC-3E3C-4197-8EDE-EDD8995636F2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544</xdr:row>
      <xdr:rowOff>0</xdr:rowOff>
    </xdr:from>
    <xdr:to>
      <xdr:col>28</xdr:col>
      <xdr:colOff>83820</xdr:colOff>
      <xdr:row>544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8357BBF4-C5B9-48F9-B69B-278BADEA3F67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545</xdr:row>
      <xdr:rowOff>0</xdr:rowOff>
    </xdr:from>
    <xdr:to>
      <xdr:col>28</xdr:col>
      <xdr:colOff>83820</xdr:colOff>
      <xdr:row>545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BAF4D188-DD73-45C3-A770-26805A0DDABA}"/>
            </a:ext>
          </a:extLst>
        </xdr:cNvPr>
        <xdr:cNvSpPr/>
      </xdr:nvSpPr>
      <xdr:spPr>
        <a:xfrm>
          <a:off x="11803380" y="8394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546</xdr:row>
      <xdr:rowOff>0</xdr:rowOff>
    </xdr:from>
    <xdr:to>
      <xdr:col>28</xdr:col>
      <xdr:colOff>83820</xdr:colOff>
      <xdr:row>546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8D1FBF9C-7F1B-48CE-B5D2-D474E4DB0C12}"/>
            </a:ext>
          </a:extLst>
        </xdr:cNvPr>
        <xdr:cNvSpPr/>
      </xdr:nvSpPr>
      <xdr:spPr>
        <a:xfrm>
          <a:off x="11803380" y="8413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547</xdr:row>
      <xdr:rowOff>0</xdr:rowOff>
    </xdr:from>
    <xdr:to>
      <xdr:col>28</xdr:col>
      <xdr:colOff>83820</xdr:colOff>
      <xdr:row>547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5F8AC56B-95EA-4BAD-9389-8AC20C0A0DA6}"/>
            </a:ext>
          </a:extLst>
        </xdr:cNvPr>
        <xdr:cNvSpPr/>
      </xdr:nvSpPr>
      <xdr:spPr>
        <a:xfrm>
          <a:off x="11803380" y="8431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548</xdr:row>
      <xdr:rowOff>0</xdr:rowOff>
    </xdr:from>
    <xdr:to>
      <xdr:col>28</xdr:col>
      <xdr:colOff>83820</xdr:colOff>
      <xdr:row>548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9F1B35F0-AFD9-4790-8FC9-5D023335BD2C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549</xdr:row>
      <xdr:rowOff>0</xdr:rowOff>
    </xdr:from>
    <xdr:to>
      <xdr:col>28</xdr:col>
      <xdr:colOff>83820</xdr:colOff>
      <xdr:row>549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F9789C2F-2A0C-48A0-922F-1478F3667473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F176A430-55FD-43C3-AA76-5A768C0C7728}"/>
            </a:ext>
          </a:extLst>
        </xdr:cNvPr>
        <xdr:cNvSpPr/>
      </xdr:nvSpPr>
      <xdr:spPr>
        <a:xfrm rot="10800000">
          <a:off x="11803380" y="8486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AB87DF8F-D64C-4D40-9A6B-0E42F59CB9EF}"/>
            </a:ext>
          </a:extLst>
        </xdr:cNvPr>
        <xdr:cNvSpPr/>
      </xdr:nvSpPr>
      <xdr:spPr>
        <a:xfrm rot="10800000">
          <a:off x="11803380" y="85229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551</xdr:row>
      <xdr:rowOff>0</xdr:rowOff>
    </xdr:from>
    <xdr:to>
      <xdr:col>28</xdr:col>
      <xdr:colOff>83820</xdr:colOff>
      <xdr:row>551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93F0E8BD-7427-4F55-9084-B9CD37B95D5C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552</xdr:row>
      <xdr:rowOff>0</xdr:rowOff>
    </xdr:from>
    <xdr:to>
      <xdr:col>28</xdr:col>
      <xdr:colOff>83820</xdr:colOff>
      <xdr:row>552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614399BB-F342-4F63-B954-9F351BEB2596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553</xdr:row>
      <xdr:rowOff>0</xdr:rowOff>
    </xdr:from>
    <xdr:to>
      <xdr:col>28</xdr:col>
      <xdr:colOff>83820</xdr:colOff>
      <xdr:row>553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F39AEB99-AA3A-4C49-BC8D-041BFD441057}"/>
            </a:ext>
          </a:extLst>
        </xdr:cNvPr>
        <xdr:cNvSpPr/>
      </xdr:nvSpPr>
      <xdr:spPr>
        <a:xfrm>
          <a:off x="11803380" y="8541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554</xdr:row>
      <xdr:rowOff>0</xdr:rowOff>
    </xdr:from>
    <xdr:to>
      <xdr:col>28</xdr:col>
      <xdr:colOff>83820</xdr:colOff>
      <xdr:row>554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FEF764F-B73D-4480-9BF3-03E11D6CCAEE}"/>
            </a:ext>
          </a:extLst>
        </xdr:cNvPr>
        <xdr:cNvSpPr/>
      </xdr:nvSpPr>
      <xdr:spPr>
        <a:xfrm>
          <a:off x="11803380" y="8559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555</xdr:row>
      <xdr:rowOff>0</xdr:rowOff>
    </xdr:from>
    <xdr:to>
      <xdr:col>28</xdr:col>
      <xdr:colOff>83820</xdr:colOff>
      <xdr:row>555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A543DBDA-3DA0-486B-B055-CA21CB427BF6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556</xdr:row>
      <xdr:rowOff>0</xdr:rowOff>
    </xdr:from>
    <xdr:to>
      <xdr:col>28</xdr:col>
      <xdr:colOff>83820</xdr:colOff>
      <xdr:row>556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B043D451-5164-4B42-825F-C7B112A137FA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557</xdr:row>
      <xdr:rowOff>0</xdr:rowOff>
    </xdr:from>
    <xdr:to>
      <xdr:col>28</xdr:col>
      <xdr:colOff>83820</xdr:colOff>
      <xdr:row>557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4212712F-2BAB-440D-AC31-A3DA4CC5A13A}"/>
            </a:ext>
          </a:extLst>
        </xdr:cNvPr>
        <xdr:cNvSpPr/>
      </xdr:nvSpPr>
      <xdr:spPr>
        <a:xfrm>
          <a:off x="11803380" y="8632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558</xdr:row>
      <xdr:rowOff>0</xdr:rowOff>
    </xdr:from>
    <xdr:to>
      <xdr:col>28</xdr:col>
      <xdr:colOff>83820</xdr:colOff>
      <xdr:row>558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BAFBF3BB-1618-4018-BEC6-1E6F58BD00FB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559</xdr:row>
      <xdr:rowOff>0</xdr:rowOff>
    </xdr:from>
    <xdr:to>
      <xdr:col>28</xdr:col>
      <xdr:colOff>83820</xdr:colOff>
      <xdr:row>559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A4260ADF-2E85-483A-8861-D14246107C02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560</xdr:row>
      <xdr:rowOff>0</xdr:rowOff>
    </xdr:from>
    <xdr:to>
      <xdr:col>28</xdr:col>
      <xdr:colOff>83820</xdr:colOff>
      <xdr:row>560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5BAB4C87-2D65-4A0C-BDB9-F3A2BA0E1755}"/>
            </a:ext>
          </a:extLst>
        </xdr:cNvPr>
        <xdr:cNvSpPr/>
      </xdr:nvSpPr>
      <xdr:spPr>
        <a:xfrm rot="10800000">
          <a:off x="11803380" y="8669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561</xdr:row>
      <xdr:rowOff>0</xdr:rowOff>
    </xdr:from>
    <xdr:to>
      <xdr:col>28</xdr:col>
      <xdr:colOff>83820</xdr:colOff>
      <xdr:row>561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FF83338F-D043-4D56-B741-52ED14155AB7}"/>
            </a:ext>
          </a:extLst>
        </xdr:cNvPr>
        <xdr:cNvSpPr/>
      </xdr:nvSpPr>
      <xdr:spPr>
        <a:xfrm>
          <a:off x="11803380" y="8705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562</xdr:row>
      <xdr:rowOff>0</xdr:rowOff>
    </xdr:from>
    <xdr:to>
      <xdr:col>28</xdr:col>
      <xdr:colOff>83820</xdr:colOff>
      <xdr:row>562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EC0E839C-4740-44D1-B944-215739BB32A6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563</xdr:row>
      <xdr:rowOff>0</xdr:rowOff>
    </xdr:from>
    <xdr:to>
      <xdr:col>28</xdr:col>
      <xdr:colOff>83820</xdr:colOff>
      <xdr:row>563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3AA63311-EE7A-482F-9EF3-F3F7BE0CE9C9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564</xdr:row>
      <xdr:rowOff>0</xdr:rowOff>
    </xdr:from>
    <xdr:to>
      <xdr:col>28</xdr:col>
      <xdr:colOff>83820</xdr:colOff>
      <xdr:row>564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4E4000E0-336F-4683-96B2-AF2890938470}"/>
            </a:ext>
          </a:extLst>
        </xdr:cNvPr>
        <xdr:cNvSpPr/>
      </xdr:nvSpPr>
      <xdr:spPr>
        <a:xfrm rot="10800000">
          <a:off x="11803380" y="8742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565</xdr:row>
      <xdr:rowOff>0</xdr:rowOff>
    </xdr:from>
    <xdr:to>
      <xdr:col>28</xdr:col>
      <xdr:colOff>83820</xdr:colOff>
      <xdr:row>565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64D1DB6D-7565-4949-AAC9-791AFA9B5CDF}"/>
            </a:ext>
          </a:extLst>
        </xdr:cNvPr>
        <xdr:cNvSpPr/>
      </xdr:nvSpPr>
      <xdr:spPr>
        <a:xfrm>
          <a:off x="11803380" y="8779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566</xdr:row>
      <xdr:rowOff>0</xdr:rowOff>
    </xdr:from>
    <xdr:to>
      <xdr:col>28</xdr:col>
      <xdr:colOff>83820</xdr:colOff>
      <xdr:row>566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06EBC642-67C6-4348-BFED-FB15537FD7CC}"/>
            </a:ext>
          </a:extLst>
        </xdr:cNvPr>
        <xdr:cNvSpPr/>
      </xdr:nvSpPr>
      <xdr:spPr>
        <a:xfrm rot="10800000">
          <a:off x="11803380" y="8797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567</xdr:row>
      <xdr:rowOff>0</xdr:rowOff>
    </xdr:from>
    <xdr:to>
      <xdr:col>28</xdr:col>
      <xdr:colOff>83820</xdr:colOff>
      <xdr:row>567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6895733-578D-4D8B-B75F-537A4D65D524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568</xdr:row>
      <xdr:rowOff>0</xdr:rowOff>
    </xdr:from>
    <xdr:to>
      <xdr:col>28</xdr:col>
      <xdr:colOff>83820</xdr:colOff>
      <xdr:row>568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692AD9A0-677D-40DD-BD55-F72BD2E5FD47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569</xdr:row>
      <xdr:rowOff>0</xdr:rowOff>
    </xdr:from>
    <xdr:to>
      <xdr:col>28</xdr:col>
      <xdr:colOff>83820</xdr:colOff>
      <xdr:row>569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CAA3A657-1F75-40F6-94F8-38BADAA41F6E}"/>
            </a:ext>
          </a:extLst>
        </xdr:cNvPr>
        <xdr:cNvSpPr/>
      </xdr:nvSpPr>
      <xdr:spPr>
        <a:xfrm>
          <a:off x="11803380" y="8833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570</xdr:row>
      <xdr:rowOff>0</xdr:rowOff>
    </xdr:from>
    <xdr:to>
      <xdr:col>28</xdr:col>
      <xdr:colOff>83820</xdr:colOff>
      <xdr:row>570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45CBC042-C1E8-4E33-B9D0-BDF5EACF9AE8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571</xdr:row>
      <xdr:rowOff>0</xdr:rowOff>
    </xdr:from>
    <xdr:to>
      <xdr:col>28</xdr:col>
      <xdr:colOff>83820</xdr:colOff>
      <xdr:row>571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7BE694A0-F07F-46C9-8036-38D93B67B995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572</xdr:row>
      <xdr:rowOff>0</xdr:rowOff>
    </xdr:from>
    <xdr:to>
      <xdr:col>28</xdr:col>
      <xdr:colOff>83820</xdr:colOff>
      <xdr:row>572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6308B854-9165-45D8-92AB-E38B3771155D}"/>
            </a:ext>
          </a:extLst>
        </xdr:cNvPr>
        <xdr:cNvSpPr/>
      </xdr:nvSpPr>
      <xdr:spPr>
        <a:xfrm rot="10800000">
          <a:off x="11803380" y="8888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573</xdr:row>
      <xdr:rowOff>0</xdr:rowOff>
    </xdr:from>
    <xdr:to>
      <xdr:col>28</xdr:col>
      <xdr:colOff>83820</xdr:colOff>
      <xdr:row>573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F4240846-451A-4791-AACC-51343C4D2361}"/>
            </a:ext>
          </a:extLst>
        </xdr:cNvPr>
        <xdr:cNvSpPr/>
      </xdr:nvSpPr>
      <xdr:spPr>
        <a:xfrm rot="10800000">
          <a:off x="11803380" y="8907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574</xdr:row>
      <xdr:rowOff>0</xdr:rowOff>
    </xdr:from>
    <xdr:to>
      <xdr:col>28</xdr:col>
      <xdr:colOff>83820</xdr:colOff>
      <xdr:row>574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7A045B67-70F2-47F7-8E50-A38A5003A6AC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575</xdr:row>
      <xdr:rowOff>0</xdr:rowOff>
    </xdr:from>
    <xdr:to>
      <xdr:col>28</xdr:col>
      <xdr:colOff>83820</xdr:colOff>
      <xdr:row>575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A5206A5B-7E0D-4B52-A8C9-DC67BB1CE2C9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576</xdr:row>
      <xdr:rowOff>0</xdr:rowOff>
    </xdr:from>
    <xdr:to>
      <xdr:col>28</xdr:col>
      <xdr:colOff>83820</xdr:colOff>
      <xdr:row>576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8CA6429C-9D1E-45D5-9B18-4DA3D9EF8F27}"/>
            </a:ext>
          </a:extLst>
        </xdr:cNvPr>
        <xdr:cNvSpPr/>
      </xdr:nvSpPr>
      <xdr:spPr>
        <a:xfrm>
          <a:off x="11803380" y="8961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577</xdr:row>
      <xdr:rowOff>0</xdr:rowOff>
    </xdr:from>
    <xdr:to>
      <xdr:col>28</xdr:col>
      <xdr:colOff>83820</xdr:colOff>
      <xdr:row>577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8C1F17E7-A26E-4883-80CA-E55D7104A5AC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578</xdr:row>
      <xdr:rowOff>0</xdr:rowOff>
    </xdr:from>
    <xdr:to>
      <xdr:col>28</xdr:col>
      <xdr:colOff>83820</xdr:colOff>
      <xdr:row>578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4882FAD-977B-4525-9862-0B93F6981CF4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579</xdr:row>
      <xdr:rowOff>0</xdr:rowOff>
    </xdr:from>
    <xdr:to>
      <xdr:col>28</xdr:col>
      <xdr:colOff>83820</xdr:colOff>
      <xdr:row>579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C8883210-C6B3-44EF-A057-B55C55A6F5C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580</xdr:row>
      <xdr:rowOff>0</xdr:rowOff>
    </xdr:from>
    <xdr:to>
      <xdr:col>28</xdr:col>
      <xdr:colOff>83820</xdr:colOff>
      <xdr:row>580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CECCCE8C-ADB8-4850-A50F-0994FDE7E5A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581</xdr:row>
      <xdr:rowOff>0</xdr:rowOff>
    </xdr:from>
    <xdr:to>
      <xdr:col>28</xdr:col>
      <xdr:colOff>83820</xdr:colOff>
      <xdr:row>581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A7F7DB2E-BEFB-493C-8022-D1BDA6EF9AF1}"/>
            </a:ext>
          </a:extLst>
        </xdr:cNvPr>
        <xdr:cNvSpPr/>
      </xdr:nvSpPr>
      <xdr:spPr>
        <a:xfrm>
          <a:off x="11803380" y="9053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582</xdr:row>
      <xdr:rowOff>0</xdr:rowOff>
    </xdr:from>
    <xdr:to>
      <xdr:col>28</xdr:col>
      <xdr:colOff>83820</xdr:colOff>
      <xdr:row>582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1F86019-FF07-4DAA-BC60-C5D1B6363D30}"/>
            </a:ext>
          </a:extLst>
        </xdr:cNvPr>
        <xdr:cNvSpPr/>
      </xdr:nvSpPr>
      <xdr:spPr>
        <a:xfrm>
          <a:off x="11803380" y="9071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583</xdr:row>
      <xdr:rowOff>0</xdr:rowOff>
    </xdr:from>
    <xdr:to>
      <xdr:col>28</xdr:col>
      <xdr:colOff>83820</xdr:colOff>
      <xdr:row>583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259676EE-2874-4301-B15A-FDB35DF7F187}"/>
            </a:ext>
          </a:extLst>
        </xdr:cNvPr>
        <xdr:cNvSpPr/>
      </xdr:nvSpPr>
      <xdr:spPr>
        <a:xfrm>
          <a:off x="11803380" y="9089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584</xdr:row>
      <xdr:rowOff>0</xdr:rowOff>
    </xdr:from>
    <xdr:to>
      <xdr:col>28</xdr:col>
      <xdr:colOff>83820</xdr:colOff>
      <xdr:row>584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6647F525-A094-4A46-B048-579603F6BA27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585</xdr:row>
      <xdr:rowOff>0</xdr:rowOff>
    </xdr:from>
    <xdr:to>
      <xdr:col>28</xdr:col>
      <xdr:colOff>83820</xdr:colOff>
      <xdr:row>585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D90630B0-FDCC-4211-8166-DF3F9E659B21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586</xdr:row>
      <xdr:rowOff>0</xdr:rowOff>
    </xdr:from>
    <xdr:to>
      <xdr:col>28</xdr:col>
      <xdr:colOff>83820</xdr:colOff>
      <xdr:row>586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2A4CD113-4888-4E42-8E91-0D9FF0BF2F38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587</xdr:row>
      <xdr:rowOff>0</xdr:rowOff>
    </xdr:from>
    <xdr:to>
      <xdr:col>28</xdr:col>
      <xdr:colOff>83820</xdr:colOff>
      <xdr:row>587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1C29BD97-4A8E-4799-B750-FE68C8A2E00C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588</xdr:row>
      <xdr:rowOff>0</xdr:rowOff>
    </xdr:from>
    <xdr:to>
      <xdr:col>28</xdr:col>
      <xdr:colOff>83820</xdr:colOff>
      <xdr:row>588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9650D19C-799B-4F7E-A7E9-293684E0A687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589</xdr:row>
      <xdr:rowOff>0</xdr:rowOff>
    </xdr:from>
    <xdr:to>
      <xdr:col>28</xdr:col>
      <xdr:colOff>83820</xdr:colOff>
      <xdr:row>589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5DF70E89-8B48-4535-B18E-9CEDE58FFECA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590</xdr:row>
      <xdr:rowOff>0</xdr:rowOff>
    </xdr:from>
    <xdr:to>
      <xdr:col>28</xdr:col>
      <xdr:colOff>83820</xdr:colOff>
      <xdr:row>590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BF912F99-24BF-4A50-9687-64977DA60D33}"/>
            </a:ext>
          </a:extLst>
        </xdr:cNvPr>
        <xdr:cNvSpPr/>
      </xdr:nvSpPr>
      <xdr:spPr>
        <a:xfrm rot="10800000">
          <a:off x="11803380" y="9236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591</xdr:row>
      <xdr:rowOff>0</xdr:rowOff>
    </xdr:from>
    <xdr:to>
      <xdr:col>28</xdr:col>
      <xdr:colOff>83820</xdr:colOff>
      <xdr:row>591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F4A324DF-D7E2-4F2A-9F8F-9A745E2BFEC7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592</xdr:row>
      <xdr:rowOff>0</xdr:rowOff>
    </xdr:from>
    <xdr:to>
      <xdr:col>28</xdr:col>
      <xdr:colOff>83820</xdr:colOff>
      <xdr:row>592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D25543C5-54E3-42BD-B033-BAD72EDC623C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593</xdr:row>
      <xdr:rowOff>0</xdr:rowOff>
    </xdr:from>
    <xdr:to>
      <xdr:col>28</xdr:col>
      <xdr:colOff>83820</xdr:colOff>
      <xdr:row>593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BA6E8B2D-6719-43CD-8FE4-457B113EF8B5}"/>
            </a:ext>
          </a:extLst>
        </xdr:cNvPr>
        <xdr:cNvSpPr/>
      </xdr:nvSpPr>
      <xdr:spPr>
        <a:xfrm rot="10800000">
          <a:off x="11803380" y="9272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594</xdr:row>
      <xdr:rowOff>0</xdr:rowOff>
    </xdr:from>
    <xdr:to>
      <xdr:col>28</xdr:col>
      <xdr:colOff>83820</xdr:colOff>
      <xdr:row>594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96849740-46B6-4E9F-8796-09A6C8565FC1}"/>
            </a:ext>
          </a:extLst>
        </xdr:cNvPr>
        <xdr:cNvSpPr/>
      </xdr:nvSpPr>
      <xdr:spPr>
        <a:xfrm rot="10800000">
          <a:off x="11803380" y="92910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595</xdr:row>
      <xdr:rowOff>0</xdr:rowOff>
    </xdr:from>
    <xdr:to>
      <xdr:col>28</xdr:col>
      <xdr:colOff>83820</xdr:colOff>
      <xdr:row>595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976BD3BD-BB59-48DE-9FD7-6F75572C63D1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596</xdr:row>
      <xdr:rowOff>0</xdr:rowOff>
    </xdr:from>
    <xdr:to>
      <xdr:col>28</xdr:col>
      <xdr:colOff>83820</xdr:colOff>
      <xdr:row>596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AD39614D-25F0-4785-9289-14C2170447B5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597</xdr:row>
      <xdr:rowOff>0</xdr:rowOff>
    </xdr:from>
    <xdr:to>
      <xdr:col>28</xdr:col>
      <xdr:colOff>83820</xdr:colOff>
      <xdr:row>597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C53BAAC2-1730-4930-8E29-6D0403D52706}"/>
            </a:ext>
          </a:extLst>
        </xdr:cNvPr>
        <xdr:cNvSpPr/>
      </xdr:nvSpPr>
      <xdr:spPr>
        <a:xfrm>
          <a:off x="11803380" y="9345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598</xdr:row>
      <xdr:rowOff>0</xdr:rowOff>
    </xdr:from>
    <xdr:to>
      <xdr:col>28</xdr:col>
      <xdr:colOff>83820</xdr:colOff>
      <xdr:row>598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F31020FC-25C7-4B88-A9BE-B9961127ED89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599</xdr:row>
      <xdr:rowOff>0</xdr:rowOff>
    </xdr:from>
    <xdr:to>
      <xdr:col>28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955E8E40-2B73-4C6F-BDEA-98E0F6E66A05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600</xdr:row>
      <xdr:rowOff>0</xdr:rowOff>
    </xdr:from>
    <xdr:to>
      <xdr:col>28</xdr:col>
      <xdr:colOff>83820</xdr:colOff>
      <xdr:row>600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6D3A452F-284A-41CC-8BC3-B47AA30704DC}"/>
            </a:ext>
          </a:extLst>
        </xdr:cNvPr>
        <xdr:cNvSpPr/>
      </xdr:nvSpPr>
      <xdr:spPr>
        <a:xfrm rot="10800000">
          <a:off x="11803380" y="9419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601</xdr:row>
      <xdr:rowOff>0</xdr:rowOff>
    </xdr:from>
    <xdr:to>
      <xdr:col>28</xdr:col>
      <xdr:colOff>83820</xdr:colOff>
      <xdr:row>601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FD7F0A32-D191-4503-B20B-A7FAA8D891C8}"/>
            </a:ext>
          </a:extLst>
        </xdr:cNvPr>
        <xdr:cNvSpPr/>
      </xdr:nvSpPr>
      <xdr:spPr>
        <a:xfrm rot="10800000">
          <a:off x="11803380" y="9419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602</xdr:row>
      <xdr:rowOff>22860</xdr:rowOff>
    </xdr:from>
    <xdr:to>
      <xdr:col>28</xdr:col>
      <xdr:colOff>83820</xdr:colOff>
      <xdr:row>602</xdr:row>
      <xdr:rowOff>137160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489CA595-41C1-4E69-B1B4-CE958E6D8E03}"/>
            </a:ext>
          </a:extLst>
        </xdr:cNvPr>
        <xdr:cNvSpPr/>
      </xdr:nvSpPr>
      <xdr:spPr>
        <a:xfrm>
          <a:off x="11803380" y="94579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603</xdr:row>
      <xdr:rowOff>0</xdr:rowOff>
    </xdr:from>
    <xdr:to>
      <xdr:col>28</xdr:col>
      <xdr:colOff>83820</xdr:colOff>
      <xdr:row>603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619F0B10-7455-47E0-A17B-C23813DD5538}"/>
            </a:ext>
          </a:extLst>
        </xdr:cNvPr>
        <xdr:cNvSpPr/>
      </xdr:nvSpPr>
      <xdr:spPr>
        <a:xfrm>
          <a:off x="11803380" y="9455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604</xdr:row>
      <xdr:rowOff>0</xdr:rowOff>
    </xdr:from>
    <xdr:to>
      <xdr:col>28</xdr:col>
      <xdr:colOff>83820</xdr:colOff>
      <xdr:row>604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FAEB6323-A590-4E5C-A49B-FB1CAC229084}"/>
            </a:ext>
          </a:extLst>
        </xdr:cNvPr>
        <xdr:cNvSpPr/>
      </xdr:nvSpPr>
      <xdr:spPr>
        <a:xfrm rot="10800000">
          <a:off x="11803380" y="9492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605</xdr:row>
      <xdr:rowOff>0</xdr:rowOff>
    </xdr:from>
    <xdr:to>
      <xdr:col>28</xdr:col>
      <xdr:colOff>83820</xdr:colOff>
      <xdr:row>605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C1E5C8B5-F1A4-4C28-AF00-E6642FF64ED8}"/>
            </a:ext>
          </a:extLst>
        </xdr:cNvPr>
        <xdr:cNvSpPr/>
      </xdr:nvSpPr>
      <xdr:spPr>
        <a:xfrm>
          <a:off x="11803380" y="9510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606</xdr:row>
      <xdr:rowOff>0</xdr:rowOff>
    </xdr:from>
    <xdr:to>
      <xdr:col>28</xdr:col>
      <xdr:colOff>83820</xdr:colOff>
      <xdr:row>606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BB81D619-B14D-412C-9FCF-505245822100}"/>
            </a:ext>
          </a:extLst>
        </xdr:cNvPr>
        <xdr:cNvSpPr/>
      </xdr:nvSpPr>
      <xdr:spPr>
        <a:xfrm rot="10800000">
          <a:off x="11803380" y="9528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607</xdr:row>
      <xdr:rowOff>0</xdr:rowOff>
    </xdr:from>
    <xdr:to>
      <xdr:col>28</xdr:col>
      <xdr:colOff>83820</xdr:colOff>
      <xdr:row>607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4EE385FD-0926-463A-9DBB-CF25B62C4724}"/>
            </a:ext>
          </a:extLst>
        </xdr:cNvPr>
        <xdr:cNvSpPr/>
      </xdr:nvSpPr>
      <xdr:spPr>
        <a:xfrm rot="10800000">
          <a:off x="11803380" y="9528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608</xdr:row>
      <xdr:rowOff>0</xdr:rowOff>
    </xdr:from>
    <xdr:to>
      <xdr:col>28</xdr:col>
      <xdr:colOff>83820</xdr:colOff>
      <xdr:row>608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0C2C8BCF-6FAF-4BFA-B26A-54D3138FCD76}"/>
            </a:ext>
          </a:extLst>
        </xdr:cNvPr>
        <xdr:cNvSpPr/>
      </xdr:nvSpPr>
      <xdr:spPr>
        <a:xfrm rot="10800000">
          <a:off x="11803380" y="95470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609</xdr:row>
      <xdr:rowOff>0</xdr:rowOff>
    </xdr:from>
    <xdr:to>
      <xdr:col>28</xdr:col>
      <xdr:colOff>83820</xdr:colOff>
      <xdr:row>609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8207306-6936-47ED-A03D-1B2DCD67FBD4}"/>
            </a:ext>
          </a:extLst>
        </xdr:cNvPr>
        <xdr:cNvSpPr/>
      </xdr:nvSpPr>
      <xdr:spPr>
        <a:xfrm>
          <a:off x="11803380" y="9583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610</xdr:row>
      <xdr:rowOff>0</xdr:rowOff>
    </xdr:from>
    <xdr:to>
      <xdr:col>28</xdr:col>
      <xdr:colOff>83820</xdr:colOff>
      <xdr:row>610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76390AE4-1870-43D1-BD4F-5F9C9FA11B2B}"/>
            </a:ext>
          </a:extLst>
        </xdr:cNvPr>
        <xdr:cNvSpPr/>
      </xdr:nvSpPr>
      <xdr:spPr>
        <a:xfrm>
          <a:off x="11803380" y="9583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611</xdr:row>
      <xdr:rowOff>0</xdr:rowOff>
    </xdr:from>
    <xdr:to>
      <xdr:col>28</xdr:col>
      <xdr:colOff>83820</xdr:colOff>
      <xdr:row>611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7E042D41-E9F4-4E56-97DE-0CA6AD3C6866}"/>
            </a:ext>
          </a:extLst>
        </xdr:cNvPr>
        <xdr:cNvSpPr/>
      </xdr:nvSpPr>
      <xdr:spPr>
        <a:xfrm rot="10800000">
          <a:off x="11803380" y="9620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612</xdr:row>
      <xdr:rowOff>0</xdr:rowOff>
    </xdr:from>
    <xdr:to>
      <xdr:col>28</xdr:col>
      <xdr:colOff>83820</xdr:colOff>
      <xdr:row>612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ED342284-3057-47BC-95B7-FD6FE1635805}"/>
            </a:ext>
          </a:extLst>
        </xdr:cNvPr>
        <xdr:cNvSpPr/>
      </xdr:nvSpPr>
      <xdr:spPr>
        <a:xfrm rot="10800000">
          <a:off x="11803380" y="9620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613</xdr:row>
      <xdr:rowOff>0</xdr:rowOff>
    </xdr:from>
    <xdr:to>
      <xdr:col>28</xdr:col>
      <xdr:colOff>83820</xdr:colOff>
      <xdr:row>613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FDB11ED7-FA01-4011-AA12-20DFAF26E676}"/>
            </a:ext>
          </a:extLst>
        </xdr:cNvPr>
        <xdr:cNvSpPr/>
      </xdr:nvSpPr>
      <xdr:spPr>
        <a:xfrm rot="10800000">
          <a:off x="11803380" y="9638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614</xdr:row>
      <xdr:rowOff>0</xdr:rowOff>
    </xdr:from>
    <xdr:to>
      <xdr:col>28</xdr:col>
      <xdr:colOff>83820</xdr:colOff>
      <xdr:row>614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FD583CFF-F1C4-428E-B102-DACFCB55E855}"/>
            </a:ext>
          </a:extLst>
        </xdr:cNvPr>
        <xdr:cNvSpPr/>
      </xdr:nvSpPr>
      <xdr:spPr>
        <a:xfrm rot="10800000">
          <a:off x="11803380" y="9675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615</xdr:row>
      <xdr:rowOff>0</xdr:rowOff>
    </xdr:from>
    <xdr:to>
      <xdr:col>28</xdr:col>
      <xdr:colOff>83820</xdr:colOff>
      <xdr:row>615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DFA98FEB-C440-4139-895B-E4B1C44531A5}"/>
            </a:ext>
          </a:extLst>
        </xdr:cNvPr>
        <xdr:cNvSpPr/>
      </xdr:nvSpPr>
      <xdr:spPr>
        <a:xfrm rot="10800000">
          <a:off x="11803380" y="9675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616</xdr:row>
      <xdr:rowOff>0</xdr:rowOff>
    </xdr:from>
    <xdr:to>
      <xdr:col>28</xdr:col>
      <xdr:colOff>83820</xdr:colOff>
      <xdr:row>616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FE4E44FE-B967-485B-8CB8-FDAA6351EAD1}"/>
            </a:ext>
          </a:extLst>
        </xdr:cNvPr>
        <xdr:cNvSpPr/>
      </xdr:nvSpPr>
      <xdr:spPr>
        <a:xfrm>
          <a:off x="11803380" y="9711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617</xdr:row>
      <xdr:rowOff>0</xdr:rowOff>
    </xdr:from>
    <xdr:to>
      <xdr:col>28</xdr:col>
      <xdr:colOff>83820</xdr:colOff>
      <xdr:row>617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675A8357-1EB0-4990-86A9-4BB71012ECF8}"/>
            </a:ext>
          </a:extLst>
        </xdr:cNvPr>
        <xdr:cNvSpPr/>
      </xdr:nvSpPr>
      <xdr:spPr>
        <a:xfrm>
          <a:off x="11803380" y="9711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618</xdr:row>
      <xdr:rowOff>0</xdr:rowOff>
    </xdr:from>
    <xdr:to>
      <xdr:col>28</xdr:col>
      <xdr:colOff>83820</xdr:colOff>
      <xdr:row>618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94886E73-DE0E-411A-923C-411282C0EFD5}"/>
            </a:ext>
          </a:extLst>
        </xdr:cNvPr>
        <xdr:cNvSpPr/>
      </xdr:nvSpPr>
      <xdr:spPr>
        <a:xfrm rot="10800000">
          <a:off x="11803380" y="9748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619</xdr:row>
      <xdr:rowOff>0</xdr:rowOff>
    </xdr:from>
    <xdr:to>
      <xdr:col>28</xdr:col>
      <xdr:colOff>83820</xdr:colOff>
      <xdr:row>619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3EF92E0-44D1-41F3-AC2D-E791DFCED17E}"/>
            </a:ext>
          </a:extLst>
        </xdr:cNvPr>
        <xdr:cNvSpPr/>
      </xdr:nvSpPr>
      <xdr:spPr>
        <a:xfrm rot="10800000">
          <a:off x="11803380" y="9748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620</xdr:row>
      <xdr:rowOff>0</xdr:rowOff>
    </xdr:from>
    <xdr:to>
      <xdr:col>28</xdr:col>
      <xdr:colOff>83820</xdr:colOff>
      <xdr:row>620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2B9AF7BE-3D90-4581-BB82-08F1490F1720}"/>
            </a:ext>
          </a:extLst>
        </xdr:cNvPr>
        <xdr:cNvSpPr/>
      </xdr:nvSpPr>
      <xdr:spPr>
        <a:xfrm rot="10800000">
          <a:off x="11803380" y="9766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621</xdr:row>
      <xdr:rowOff>0</xdr:rowOff>
    </xdr:from>
    <xdr:to>
      <xdr:col>28</xdr:col>
      <xdr:colOff>83820</xdr:colOff>
      <xdr:row>621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E4733CBB-E1DD-4385-984E-EA554B58F340}"/>
            </a:ext>
          </a:extLst>
        </xdr:cNvPr>
        <xdr:cNvSpPr/>
      </xdr:nvSpPr>
      <xdr:spPr>
        <a:xfrm rot="10800000">
          <a:off x="11803380" y="9784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622</xdr:row>
      <xdr:rowOff>0</xdr:rowOff>
    </xdr:from>
    <xdr:to>
      <xdr:col>28</xdr:col>
      <xdr:colOff>83820</xdr:colOff>
      <xdr:row>622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5F6B010B-92FA-4B76-8889-C4E4E297FCF8}"/>
            </a:ext>
          </a:extLst>
        </xdr:cNvPr>
        <xdr:cNvSpPr/>
      </xdr:nvSpPr>
      <xdr:spPr>
        <a:xfrm rot="10800000">
          <a:off x="11803380" y="9803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623</xdr:row>
      <xdr:rowOff>0</xdr:rowOff>
    </xdr:from>
    <xdr:to>
      <xdr:col>28</xdr:col>
      <xdr:colOff>83820</xdr:colOff>
      <xdr:row>623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920D9051-8C9A-4FA7-B091-2590E15222E5}"/>
            </a:ext>
          </a:extLst>
        </xdr:cNvPr>
        <xdr:cNvSpPr/>
      </xdr:nvSpPr>
      <xdr:spPr>
        <a:xfrm>
          <a:off x="11803380" y="9839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624</xdr:row>
      <xdr:rowOff>0</xdr:rowOff>
    </xdr:from>
    <xdr:to>
      <xdr:col>28</xdr:col>
      <xdr:colOff>83820</xdr:colOff>
      <xdr:row>624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DB93837-1465-4EB1-9CFB-2D2AEADB7211}"/>
            </a:ext>
          </a:extLst>
        </xdr:cNvPr>
        <xdr:cNvSpPr/>
      </xdr:nvSpPr>
      <xdr:spPr>
        <a:xfrm>
          <a:off x="11803380" y="9839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625</xdr:row>
      <xdr:rowOff>0</xdr:rowOff>
    </xdr:from>
    <xdr:to>
      <xdr:col>28</xdr:col>
      <xdr:colOff>83820</xdr:colOff>
      <xdr:row>625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9421FB1D-F0DA-4100-892F-C30B0DD14C14}"/>
            </a:ext>
          </a:extLst>
        </xdr:cNvPr>
        <xdr:cNvSpPr/>
      </xdr:nvSpPr>
      <xdr:spPr>
        <a:xfrm rot="10800000">
          <a:off x="11803380" y="98762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626</xdr:row>
      <xdr:rowOff>0</xdr:rowOff>
    </xdr:from>
    <xdr:to>
      <xdr:col>28</xdr:col>
      <xdr:colOff>83820</xdr:colOff>
      <xdr:row>626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4A7DF7CA-2E25-4F69-A940-CA3D861B3E57}"/>
            </a:ext>
          </a:extLst>
        </xdr:cNvPr>
        <xdr:cNvSpPr/>
      </xdr:nvSpPr>
      <xdr:spPr>
        <a:xfrm rot="10800000">
          <a:off x="11803380" y="98762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627</xdr:row>
      <xdr:rowOff>0</xdr:rowOff>
    </xdr:from>
    <xdr:to>
      <xdr:col>28</xdr:col>
      <xdr:colOff>83820</xdr:colOff>
      <xdr:row>627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B03DE4AD-E6FB-4372-923E-61A4F7A0B85C}"/>
            </a:ext>
          </a:extLst>
        </xdr:cNvPr>
        <xdr:cNvSpPr/>
      </xdr:nvSpPr>
      <xdr:spPr>
        <a:xfrm rot="10800000">
          <a:off x="11803380" y="98945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628</xdr:row>
      <xdr:rowOff>0</xdr:rowOff>
    </xdr:from>
    <xdr:to>
      <xdr:col>28</xdr:col>
      <xdr:colOff>83820</xdr:colOff>
      <xdr:row>628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7E0ED47A-D7B1-4007-8A7C-16C4B4F3A288}"/>
            </a:ext>
          </a:extLst>
        </xdr:cNvPr>
        <xdr:cNvSpPr/>
      </xdr:nvSpPr>
      <xdr:spPr>
        <a:xfrm rot="10800000">
          <a:off x="11803380" y="99128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629</xdr:row>
      <xdr:rowOff>0</xdr:rowOff>
    </xdr:from>
    <xdr:to>
      <xdr:col>28</xdr:col>
      <xdr:colOff>83820</xdr:colOff>
      <xdr:row>629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47748098-E6AA-4283-AE20-B0147D723B61}"/>
            </a:ext>
          </a:extLst>
        </xdr:cNvPr>
        <xdr:cNvSpPr/>
      </xdr:nvSpPr>
      <xdr:spPr>
        <a:xfrm rot="10800000">
          <a:off x="11803380" y="99311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630</xdr:row>
      <xdr:rowOff>0</xdr:rowOff>
    </xdr:from>
    <xdr:to>
      <xdr:col>28</xdr:col>
      <xdr:colOff>83820</xdr:colOff>
      <xdr:row>630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724AEAE6-7501-4F2E-AAED-769D2B15D3C8}"/>
            </a:ext>
          </a:extLst>
        </xdr:cNvPr>
        <xdr:cNvSpPr/>
      </xdr:nvSpPr>
      <xdr:spPr>
        <a:xfrm>
          <a:off x="11803380" y="9967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631</xdr:row>
      <xdr:rowOff>0</xdr:rowOff>
    </xdr:from>
    <xdr:to>
      <xdr:col>28</xdr:col>
      <xdr:colOff>83820</xdr:colOff>
      <xdr:row>631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E2079F4D-0B9E-439F-AFAA-341F76885B0B}"/>
            </a:ext>
          </a:extLst>
        </xdr:cNvPr>
        <xdr:cNvSpPr/>
      </xdr:nvSpPr>
      <xdr:spPr>
        <a:xfrm>
          <a:off x="11803380" y="9967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632</xdr:row>
      <xdr:rowOff>0</xdr:rowOff>
    </xdr:from>
    <xdr:to>
      <xdr:col>28</xdr:col>
      <xdr:colOff>83820</xdr:colOff>
      <xdr:row>632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652E7F99-1083-435B-BCFC-697BE1626CAB}"/>
            </a:ext>
          </a:extLst>
        </xdr:cNvPr>
        <xdr:cNvSpPr/>
      </xdr:nvSpPr>
      <xdr:spPr>
        <a:xfrm>
          <a:off x="11803380" y="9986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633</xdr:row>
      <xdr:rowOff>0</xdr:rowOff>
    </xdr:from>
    <xdr:to>
      <xdr:col>28</xdr:col>
      <xdr:colOff>83820</xdr:colOff>
      <xdr:row>633</xdr:row>
      <xdr:rowOff>114300</xdr:rowOff>
    </xdr:to>
    <xdr:sp macro="" textlink="">
      <xdr:nvSpPr>
        <xdr:cNvPr id="665" name="Arrow: Down 664">
          <a:extLst>
            <a:ext uri="{FF2B5EF4-FFF2-40B4-BE49-F238E27FC236}">
              <a16:creationId xmlns:a16="http://schemas.microsoft.com/office/drawing/2014/main" id="{B7F6D3A3-F943-46BB-9A48-696380B0597F}"/>
            </a:ext>
          </a:extLst>
        </xdr:cNvPr>
        <xdr:cNvSpPr/>
      </xdr:nvSpPr>
      <xdr:spPr>
        <a:xfrm rot="10800000">
          <a:off x="11803380" y="100225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634</xdr:row>
      <xdr:rowOff>0</xdr:rowOff>
    </xdr:from>
    <xdr:to>
      <xdr:col>28</xdr:col>
      <xdr:colOff>83820</xdr:colOff>
      <xdr:row>634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89DFD76D-74DA-41E1-9130-F828C3F1399F}"/>
            </a:ext>
          </a:extLst>
        </xdr:cNvPr>
        <xdr:cNvSpPr/>
      </xdr:nvSpPr>
      <xdr:spPr>
        <a:xfrm rot="10800000">
          <a:off x="11803380" y="100225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635</xdr:row>
      <xdr:rowOff>0</xdr:rowOff>
    </xdr:from>
    <xdr:to>
      <xdr:col>28</xdr:col>
      <xdr:colOff>83820</xdr:colOff>
      <xdr:row>635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332B4CF2-C43F-4999-892E-F04CBB2CC79C}"/>
            </a:ext>
          </a:extLst>
        </xdr:cNvPr>
        <xdr:cNvSpPr/>
      </xdr:nvSpPr>
      <xdr:spPr>
        <a:xfrm rot="10800000">
          <a:off x="11803380" y="100408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636</xdr:row>
      <xdr:rowOff>0</xdr:rowOff>
    </xdr:from>
    <xdr:to>
      <xdr:col>28</xdr:col>
      <xdr:colOff>83820</xdr:colOff>
      <xdr:row>636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CACA6181-D118-4CA3-A4C2-C46B6BAF241F}"/>
            </a:ext>
          </a:extLst>
        </xdr:cNvPr>
        <xdr:cNvSpPr/>
      </xdr:nvSpPr>
      <xdr:spPr>
        <a:xfrm rot="10800000">
          <a:off x="11803380" y="100591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637</xdr:row>
      <xdr:rowOff>0</xdr:rowOff>
    </xdr:from>
    <xdr:to>
      <xdr:col>28</xdr:col>
      <xdr:colOff>83820</xdr:colOff>
      <xdr:row>637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DC343A99-0B30-4811-868C-CEFA7C94CBD7}"/>
            </a:ext>
          </a:extLst>
        </xdr:cNvPr>
        <xdr:cNvSpPr/>
      </xdr:nvSpPr>
      <xdr:spPr>
        <a:xfrm>
          <a:off x="11803380" y="10095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638</xdr:row>
      <xdr:rowOff>0</xdr:rowOff>
    </xdr:from>
    <xdr:to>
      <xdr:col>28</xdr:col>
      <xdr:colOff>83820</xdr:colOff>
      <xdr:row>638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6942BCC2-F787-4A1A-808E-17008ADDA390}"/>
            </a:ext>
          </a:extLst>
        </xdr:cNvPr>
        <xdr:cNvSpPr/>
      </xdr:nvSpPr>
      <xdr:spPr>
        <a:xfrm>
          <a:off x="11803380" y="10095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639</xdr:row>
      <xdr:rowOff>0</xdr:rowOff>
    </xdr:from>
    <xdr:to>
      <xdr:col>28</xdr:col>
      <xdr:colOff>83820</xdr:colOff>
      <xdr:row>639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25383A11-4557-439B-ABA5-AE3DA80E311C}"/>
            </a:ext>
          </a:extLst>
        </xdr:cNvPr>
        <xdr:cNvSpPr/>
      </xdr:nvSpPr>
      <xdr:spPr>
        <a:xfrm rot="10800000">
          <a:off x="11803380" y="101323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640</xdr:row>
      <xdr:rowOff>0</xdr:rowOff>
    </xdr:from>
    <xdr:to>
      <xdr:col>28</xdr:col>
      <xdr:colOff>83820</xdr:colOff>
      <xdr:row>640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D74E9029-38A4-4351-84F9-660BF5CBA724}"/>
            </a:ext>
          </a:extLst>
        </xdr:cNvPr>
        <xdr:cNvSpPr/>
      </xdr:nvSpPr>
      <xdr:spPr>
        <a:xfrm rot="10800000">
          <a:off x="11803380" y="101323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641</xdr:row>
      <xdr:rowOff>0</xdr:rowOff>
    </xdr:from>
    <xdr:to>
      <xdr:col>28</xdr:col>
      <xdr:colOff>83820</xdr:colOff>
      <xdr:row>641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7B227B53-FD9B-48BF-A534-08334E63364F}"/>
            </a:ext>
          </a:extLst>
        </xdr:cNvPr>
        <xdr:cNvSpPr/>
      </xdr:nvSpPr>
      <xdr:spPr>
        <a:xfrm rot="10800000">
          <a:off x="11803380" y="10150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642</xdr:row>
      <xdr:rowOff>0</xdr:rowOff>
    </xdr:from>
    <xdr:to>
      <xdr:col>28</xdr:col>
      <xdr:colOff>83820</xdr:colOff>
      <xdr:row>642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7D37CF1D-E265-4AE5-B91C-5E115213E39E}"/>
            </a:ext>
          </a:extLst>
        </xdr:cNvPr>
        <xdr:cNvSpPr/>
      </xdr:nvSpPr>
      <xdr:spPr>
        <a:xfrm>
          <a:off x="11803380" y="10187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643</xdr:row>
      <xdr:rowOff>0</xdr:rowOff>
    </xdr:from>
    <xdr:to>
      <xdr:col>28</xdr:col>
      <xdr:colOff>83820</xdr:colOff>
      <xdr:row>643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EC1F3055-6C17-42FC-90FE-02B283C4A66C}"/>
            </a:ext>
          </a:extLst>
        </xdr:cNvPr>
        <xdr:cNvSpPr/>
      </xdr:nvSpPr>
      <xdr:spPr>
        <a:xfrm>
          <a:off x="11803380" y="10187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644</xdr:row>
      <xdr:rowOff>0</xdr:rowOff>
    </xdr:from>
    <xdr:to>
      <xdr:col>28</xdr:col>
      <xdr:colOff>83820</xdr:colOff>
      <xdr:row>644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21454CCF-5835-4A48-B149-83BB31A6D608}"/>
            </a:ext>
          </a:extLst>
        </xdr:cNvPr>
        <xdr:cNvSpPr/>
      </xdr:nvSpPr>
      <xdr:spPr>
        <a:xfrm>
          <a:off x="11803380" y="10205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645</xdr:row>
      <xdr:rowOff>0</xdr:rowOff>
    </xdr:from>
    <xdr:to>
      <xdr:col>28</xdr:col>
      <xdr:colOff>83820</xdr:colOff>
      <xdr:row>645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15187062-92E9-46C3-817D-5F2E67FF5087}"/>
            </a:ext>
          </a:extLst>
        </xdr:cNvPr>
        <xdr:cNvSpPr/>
      </xdr:nvSpPr>
      <xdr:spPr>
        <a:xfrm>
          <a:off x="11803380" y="10223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646</xdr:row>
      <xdr:rowOff>0</xdr:rowOff>
    </xdr:from>
    <xdr:to>
      <xdr:col>28</xdr:col>
      <xdr:colOff>83820</xdr:colOff>
      <xdr:row>646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95E6B965-1C34-4589-B2B0-23B6D8F0D543}"/>
            </a:ext>
          </a:extLst>
        </xdr:cNvPr>
        <xdr:cNvSpPr/>
      </xdr:nvSpPr>
      <xdr:spPr>
        <a:xfrm>
          <a:off x="11803380" y="10242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647</xdr:row>
      <xdr:rowOff>0</xdr:rowOff>
    </xdr:from>
    <xdr:to>
      <xdr:col>28</xdr:col>
      <xdr:colOff>83820</xdr:colOff>
      <xdr:row>647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557BD76F-2A79-43A4-8E8B-CFABDCA9BA2F}"/>
            </a:ext>
          </a:extLst>
        </xdr:cNvPr>
        <xdr:cNvSpPr/>
      </xdr:nvSpPr>
      <xdr:spPr>
        <a:xfrm>
          <a:off x="11803380" y="10260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648</xdr:row>
      <xdr:rowOff>0</xdr:rowOff>
    </xdr:from>
    <xdr:to>
      <xdr:col>28</xdr:col>
      <xdr:colOff>83820</xdr:colOff>
      <xdr:row>648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643039E2-D147-4CF8-A1AB-8D1FF8BCC430}"/>
            </a:ext>
          </a:extLst>
        </xdr:cNvPr>
        <xdr:cNvSpPr/>
      </xdr:nvSpPr>
      <xdr:spPr>
        <a:xfrm rot="10800000">
          <a:off x="11803380" y="102969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649</xdr:row>
      <xdr:rowOff>0</xdr:rowOff>
    </xdr:from>
    <xdr:to>
      <xdr:col>28</xdr:col>
      <xdr:colOff>83820</xdr:colOff>
      <xdr:row>649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FC3ABBBE-20BD-4EA3-B81E-6F1D6692AB10}"/>
            </a:ext>
          </a:extLst>
        </xdr:cNvPr>
        <xdr:cNvSpPr/>
      </xdr:nvSpPr>
      <xdr:spPr>
        <a:xfrm>
          <a:off x="11803380" y="10315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650</xdr:row>
      <xdr:rowOff>0</xdr:rowOff>
    </xdr:from>
    <xdr:to>
      <xdr:col>28</xdr:col>
      <xdr:colOff>83820</xdr:colOff>
      <xdr:row>650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82D4E3E4-40A2-46CA-9280-81503235D77B}"/>
            </a:ext>
          </a:extLst>
        </xdr:cNvPr>
        <xdr:cNvSpPr/>
      </xdr:nvSpPr>
      <xdr:spPr>
        <a:xfrm>
          <a:off x="11803380" y="10315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651</xdr:row>
      <xdr:rowOff>0</xdr:rowOff>
    </xdr:from>
    <xdr:to>
      <xdr:col>28</xdr:col>
      <xdr:colOff>83820</xdr:colOff>
      <xdr:row>651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0A78124-6ACE-4C63-8BF8-35BAD5E85D8A}"/>
            </a:ext>
          </a:extLst>
        </xdr:cNvPr>
        <xdr:cNvSpPr/>
      </xdr:nvSpPr>
      <xdr:spPr>
        <a:xfrm>
          <a:off x="11803380" y="10333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652</xdr:row>
      <xdr:rowOff>0</xdr:rowOff>
    </xdr:from>
    <xdr:to>
      <xdr:col>28</xdr:col>
      <xdr:colOff>83820</xdr:colOff>
      <xdr:row>652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86FA262C-7679-4F29-AD4C-70E912755D97}"/>
            </a:ext>
          </a:extLst>
        </xdr:cNvPr>
        <xdr:cNvSpPr/>
      </xdr:nvSpPr>
      <xdr:spPr>
        <a:xfrm>
          <a:off x="11803380" y="10351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653</xdr:row>
      <xdr:rowOff>0</xdr:rowOff>
    </xdr:from>
    <xdr:to>
      <xdr:col>28</xdr:col>
      <xdr:colOff>83820</xdr:colOff>
      <xdr:row>653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FF2FC8D3-6A37-490B-9568-58BD5F830F53}"/>
            </a:ext>
          </a:extLst>
        </xdr:cNvPr>
        <xdr:cNvSpPr/>
      </xdr:nvSpPr>
      <xdr:spPr>
        <a:xfrm rot="10800000">
          <a:off x="11803380" y="10388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654</xdr:row>
      <xdr:rowOff>0</xdr:rowOff>
    </xdr:from>
    <xdr:to>
      <xdr:col>28</xdr:col>
      <xdr:colOff>83820</xdr:colOff>
      <xdr:row>654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19BB4C96-059D-4669-8DAC-D212EE54D0DA}"/>
            </a:ext>
          </a:extLst>
        </xdr:cNvPr>
        <xdr:cNvSpPr/>
      </xdr:nvSpPr>
      <xdr:spPr>
        <a:xfrm>
          <a:off x="11803380" y="10406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655</xdr:row>
      <xdr:rowOff>0</xdr:rowOff>
    </xdr:from>
    <xdr:to>
      <xdr:col>28</xdr:col>
      <xdr:colOff>83820</xdr:colOff>
      <xdr:row>655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3E8A2761-A09C-4356-96E4-C4F815CAF70D}"/>
            </a:ext>
          </a:extLst>
        </xdr:cNvPr>
        <xdr:cNvSpPr/>
      </xdr:nvSpPr>
      <xdr:spPr>
        <a:xfrm>
          <a:off x="11803380" y="10406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656</xdr:row>
      <xdr:rowOff>0</xdr:rowOff>
    </xdr:from>
    <xdr:to>
      <xdr:col>28</xdr:col>
      <xdr:colOff>83820</xdr:colOff>
      <xdr:row>656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01CB2638-4589-4F62-91D9-920B0CBBA2DB}"/>
            </a:ext>
          </a:extLst>
        </xdr:cNvPr>
        <xdr:cNvSpPr/>
      </xdr:nvSpPr>
      <xdr:spPr>
        <a:xfrm>
          <a:off x="11803380" y="10424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657</xdr:row>
      <xdr:rowOff>0</xdr:rowOff>
    </xdr:from>
    <xdr:to>
      <xdr:col>28</xdr:col>
      <xdr:colOff>83820</xdr:colOff>
      <xdr:row>657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7ED9CE50-57E1-4291-AC21-DD7E7C074D0A}"/>
            </a:ext>
          </a:extLst>
        </xdr:cNvPr>
        <xdr:cNvSpPr/>
      </xdr:nvSpPr>
      <xdr:spPr>
        <a:xfrm>
          <a:off x="11803380" y="10443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658</xdr:row>
      <xdr:rowOff>0</xdr:rowOff>
    </xdr:from>
    <xdr:to>
      <xdr:col>28</xdr:col>
      <xdr:colOff>83820</xdr:colOff>
      <xdr:row>658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520FD3FE-3485-462D-BEA2-D2E0B9BA48AC}"/>
            </a:ext>
          </a:extLst>
        </xdr:cNvPr>
        <xdr:cNvSpPr/>
      </xdr:nvSpPr>
      <xdr:spPr>
        <a:xfrm>
          <a:off x="11803380" y="10461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659</xdr:row>
      <xdr:rowOff>0</xdr:rowOff>
    </xdr:from>
    <xdr:to>
      <xdr:col>28</xdr:col>
      <xdr:colOff>83820</xdr:colOff>
      <xdr:row>659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97DC7EEE-27C4-45DD-A676-E04BCF978E25}"/>
            </a:ext>
          </a:extLst>
        </xdr:cNvPr>
        <xdr:cNvSpPr/>
      </xdr:nvSpPr>
      <xdr:spPr>
        <a:xfrm>
          <a:off x="11803380" y="10479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660</xdr:row>
      <xdr:rowOff>0</xdr:rowOff>
    </xdr:from>
    <xdr:to>
      <xdr:col>28</xdr:col>
      <xdr:colOff>83820</xdr:colOff>
      <xdr:row>660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9C0326A0-3137-4A01-9F93-0F51357AD43E}"/>
            </a:ext>
          </a:extLst>
        </xdr:cNvPr>
        <xdr:cNvSpPr/>
      </xdr:nvSpPr>
      <xdr:spPr>
        <a:xfrm>
          <a:off x="11803380" y="10498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661</xdr:row>
      <xdr:rowOff>0</xdr:rowOff>
    </xdr:from>
    <xdr:to>
      <xdr:col>28</xdr:col>
      <xdr:colOff>83820</xdr:colOff>
      <xdr:row>661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A2AE975D-D2FF-4C80-A3EE-887D9249C82A}"/>
            </a:ext>
          </a:extLst>
        </xdr:cNvPr>
        <xdr:cNvSpPr/>
      </xdr:nvSpPr>
      <xdr:spPr>
        <a:xfrm>
          <a:off x="11803380" y="10516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662</xdr:row>
      <xdr:rowOff>0</xdr:rowOff>
    </xdr:from>
    <xdr:to>
      <xdr:col>28</xdr:col>
      <xdr:colOff>83820</xdr:colOff>
      <xdr:row>662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5EBE084B-892E-44B0-8CA7-7E320FF30949}"/>
            </a:ext>
          </a:extLst>
        </xdr:cNvPr>
        <xdr:cNvSpPr/>
      </xdr:nvSpPr>
      <xdr:spPr>
        <a:xfrm>
          <a:off x="11803380" y="10534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663</xdr:row>
      <xdr:rowOff>0</xdr:rowOff>
    </xdr:from>
    <xdr:to>
      <xdr:col>28</xdr:col>
      <xdr:colOff>83820</xdr:colOff>
      <xdr:row>663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11BCBCEC-6258-4BCF-AEC4-44D483DE9BE0}"/>
            </a:ext>
          </a:extLst>
        </xdr:cNvPr>
        <xdr:cNvSpPr/>
      </xdr:nvSpPr>
      <xdr:spPr>
        <a:xfrm>
          <a:off x="11803380" y="10552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664</xdr:row>
      <xdr:rowOff>0</xdr:rowOff>
    </xdr:from>
    <xdr:to>
      <xdr:col>28</xdr:col>
      <xdr:colOff>83820</xdr:colOff>
      <xdr:row>664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0D7E1DC2-7B7E-469D-A3E1-BFD1B12D0A59}"/>
            </a:ext>
          </a:extLst>
        </xdr:cNvPr>
        <xdr:cNvSpPr/>
      </xdr:nvSpPr>
      <xdr:spPr>
        <a:xfrm rot="10800000">
          <a:off x="11803380" y="105895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665</xdr:row>
      <xdr:rowOff>0</xdr:rowOff>
    </xdr:from>
    <xdr:to>
      <xdr:col>28</xdr:col>
      <xdr:colOff>83820</xdr:colOff>
      <xdr:row>665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3A515F92-6653-490B-8306-EA7CCB604935}"/>
            </a:ext>
          </a:extLst>
        </xdr:cNvPr>
        <xdr:cNvSpPr/>
      </xdr:nvSpPr>
      <xdr:spPr>
        <a:xfrm>
          <a:off x="11803380" y="10607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666</xdr:row>
      <xdr:rowOff>0</xdr:rowOff>
    </xdr:from>
    <xdr:to>
      <xdr:col>28</xdr:col>
      <xdr:colOff>83820</xdr:colOff>
      <xdr:row>666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F1BCCAAB-AB5D-4B5A-BF8E-E374CF4D9A8E}"/>
            </a:ext>
          </a:extLst>
        </xdr:cNvPr>
        <xdr:cNvSpPr/>
      </xdr:nvSpPr>
      <xdr:spPr>
        <a:xfrm>
          <a:off x="11803380" y="10607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667</xdr:row>
      <xdr:rowOff>0</xdr:rowOff>
    </xdr:from>
    <xdr:to>
      <xdr:col>28</xdr:col>
      <xdr:colOff>83820</xdr:colOff>
      <xdr:row>667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AD9ACC1C-811E-4DEA-A166-E5A1AC1DC714}"/>
            </a:ext>
          </a:extLst>
        </xdr:cNvPr>
        <xdr:cNvSpPr/>
      </xdr:nvSpPr>
      <xdr:spPr>
        <a:xfrm>
          <a:off x="11803380" y="10626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668</xdr:row>
      <xdr:rowOff>0</xdr:rowOff>
    </xdr:from>
    <xdr:to>
      <xdr:col>28</xdr:col>
      <xdr:colOff>83820</xdr:colOff>
      <xdr:row>668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3C55F4D6-6310-44FA-9DB6-BB68BA728744}"/>
            </a:ext>
          </a:extLst>
        </xdr:cNvPr>
        <xdr:cNvSpPr/>
      </xdr:nvSpPr>
      <xdr:spPr>
        <a:xfrm>
          <a:off x="11803380" y="10644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669</xdr:row>
      <xdr:rowOff>0</xdr:rowOff>
    </xdr:from>
    <xdr:to>
      <xdr:col>28</xdr:col>
      <xdr:colOff>83820</xdr:colOff>
      <xdr:row>669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2C5D2E12-DE20-4D5C-83C2-FC1B38F8B850}"/>
            </a:ext>
          </a:extLst>
        </xdr:cNvPr>
        <xdr:cNvSpPr/>
      </xdr:nvSpPr>
      <xdr:spPr>
        <a:xfrm>
          <a:off x="11803380" y="10662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670</xdr:row>
      <xdr:rowOff>0</xdr:rowOff>
    </xdr:from>
    <xdr:to>
      <xdr:col>28</xdr:col>
      <xdr:colOff>83820</xdr:colOff>
      <xdr:row>670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5D9052C9-A330-4BA9-A77D-1CDE02E75C07}"/>
            </a:ext>
          </a:extLst>
        </xdr:cNvPr>
        <xdr:cNvSpPr/>
      </xdr:nvSpPr>
      <xdr:spPr>
        <a:xfrm rot="10800000">
          <a:off x="11803380" y="10699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671</xdr:row>
      <xdr:rowOff>0</xdr:rowOff>
    </xdr:from>
    <xdr:to>
      <xdr:col>28</xdr:col>
      <xdr:colOff>83820</xdr:colOff>
      <xdr:row>671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8C90FF5C-70AD-484E-83EF-82151A2DD86B}"/>
            </a:ext>
          </a:extLst>
        </xdr:cNvPr>
        <xdr:cNvSpPr/>
      </xdr:nvSpPr>
      <xdr:spPr>
        <a:xfrm rot="10800000">
          <a:off x="11803380" y="10699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672</xdr:row>
      <xdr:rowOff>0</xdr:rowOff>
    </xdr:from>
    <xdr:to>
      <xdr:col>28</xdr:col>
      <xdr:colOff>83820</xdr:colOff>
      <xdr:row>672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100DBD40-E7CC-4655-93DF-64F97A48E160}"/>
            </a:ext>
          </a:extLst>
        </xdr:cNvPr>
        <xdr:cNvSpPr/>
      </xdr:nvSpPr>
      <xdr:spPr>
        <a:xfrm>
          <a:off x="11803380" y="10735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673</xdr:row>
      <xdr:rowOff>0</xdr:rowOff>
    </xdr:from>
    <xdr:to>
      <xdr:col>28</xdr:col>
      <xdr:colOff>83820</xdr:colOff>
      <xdr:row>673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78DA9A34-76A6-4350-AA71-6B74493039C1}"/>
            </a:ext>
          </a:extLst>
        </xdr:cNvPr>
        <xdr:cNvSpPr/>
      </xdr:nvSpPr>
      <xdr:spPr>
        <a:xfrm>
          <a:off x="11803380" y="10735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674</xdr:row>
      <xdr:rowOff>0</xdr:rowOff>
    </xdr:from>
    <xdr:to>
      <xdr:col>28</xdr:col>
      <xdr:colOff>83820</xdr:colOff>
      <xdr:row>674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AB4595FA-4A4E-4AF4-85A8-EAFAC0629F9C}"/>
            </a:ext>
          </a:extLst>
        </xdr:cNvPr>
        <xdr:cNvSpPr/>
      </xdr:nvSpPr>
      <xdr:spPr>
        <a:xfrm>
          <a:off x="11803380" y="10754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675</xdr:row>
      <xdr:rowOff>0</xdr:rowOff>
    </xdr:from>
    <xdr:to>
      <xdr:col>28</xdr:col>
      <xdr:colOff>83820</xdr:colOff>
      <xdr:row>675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868F1C77-449F-4053-BDDE-C2AB5D16A61A}"/>
            </a:ext>
          </a:extLst>
        </xdr:cNvPr>
        <xdr:cNvSpPr/>
      </xdr:nvSpPr>
      <xdr:spPr>
        <a:xfrm>
          <a:off x="11803380" y="10772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676</xdr:row>
      <xdr:rowOff>0</xdr:rowOff>
    </xdr:from>
    <xdr:to>
      <xdr:col>28</xdr:col>
      <xdr:colOff>83820</xdr:colOff>
      <xdr:row>676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290BCB7A-4129-4DCC-9C7B-29846B4E2B0C}"/>
            </a:ext>
          </a:extLst>
        </xdr:cNvPr>
        <xdr:cNvSpPr/>
      </xdr:nvSpPr>
      <xdr:spPr>
        <a:xfrm>
          <a:off x="11803380" y="10790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677</xdr:row>
      <xdr:rowOff>0</xdr:rowOff>
    </xdr:from>
    <xdr:to>
      <xdr:col>28</xdr:col>
      <xdr:colOff>83820</xdr:colOff>
      <xdr:row>677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76F289D4-3A71-44AD-936A-378FA1D07DA1}"/>
            </a:ext>
          </a:extLst>
        </xdr:cNvPr>
        <xdr:cNvSpPr/>
      </xdr:nvSpPr>
      <xdr:spPr>
        <a:xfrm rot="10800000">
          <a:off x="11803380" y="108272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678</xdr:row>
      <xdr:rowOff>0</xdr:rowOff>
    </xdr:from>
    <xdr:to>
      <xdr:col>28</xdr:col>
      <xdr:colOff>83820</xdr:colOff>
      <xdr:row>678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16F40983-85E0-42FA-800B-BE0B0761BA8B}"/>
            </a:ext>
          </a:extLst>
        </xdr:cNvPr>
        <xdr:cNvSpPr/>
      </xdr:nvSpPr>
      <xdr:spPr>
        <a:xfrm rot="10800000">
          <a:off x="11803380" y="108272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679</xdr:row>
      <xdr:rowOff>0</xdr:rowOff>
    </xdr:from>
    <xdr:to>
      <xdr:col>28</xdr:col>
      <xdr:colOff>83820</xdr:colOff>
      <xdr:row>679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136058A-2F5A-4094-848A-C688714A7E98}"/>
            </a:ext>
          </a:extLst>
        </xdr:cNvPr>
        <xdr:cNvSpPr/>
      </xdr:nvSpPr>
      <xdr:spPr>
        <a:xfrm>
          <a:off x="11803380" y="10863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680</xdr:row>
      <xdr:rowOff>0</xdr:rowOff>
    </xdr:from>
    <xdr:to>
      <xdr:col>28</xdr:col>
      <xdr:colOff>83820</xdr:colOff>
      <xdr:row>680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352D398E-BE56-4B1A-B5E8-639C5AAD66C8}"/>
            </a:ext>
          </a:extLst>
        </xdr:cNvPr>
        <xdr:cNvSpPr/>
      </xdr:nvSpPr>
      <xdr:spPr>
        <a:xfrm>
          <a:off x="11803380" y="10863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681</xdr:row>
      <xdr:rowOff>0</xdr:rowOff>
    </xdr:from>
    <xdr:to>
      <xdr:col>28</xdr:col>
      <xdr:colOff>83820</xdr:colOff>
      <xdr:row>681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53ACCE03-34E6-4B6A-B7C8-D5944D879B8D}"/>
            </a:ext>
          </a:extLst>
        </xdr:cNvPr>
        <xdr:cNvSpPr/>
      </xdr:nvSpPr>
      <xdr:spPr>
        <a:xfrm>
          <a:off x="11803380" y="10882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682</xdr:row>
      <xdr:rowOff>0</xdr:rowOff>
    </xdr:from>
    <xdr:to>
      <xdr:col>28</xdr:col>
      <xdr:colOff>83820</xdr:colOff>
      <xdr:row>682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390D0938-F76D-4449-8402-6D521105B66D}"/>
            </a:ext>
          </a:extLst>
        </xdr:cNvPr>
        <xdr:cNvSpPr/>
      </xdr:nvSpPr>
      <xdr:spPr>
        <a:xfrm>
          <a:off x="11803380" y="10900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683</xdr:row>
      <xdr:rowOff>0</xdr:rowOff>
    </xdr:from>
    <xdr:to>
      <xdr:col>28</xdr:col>
      <xdr:colOff>83820</xdr:colOff>
      <xdr:row>683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E7033E4B-9D6C-447D-BBC1-7FEBEE383611}"/>
            </a:ext>
          </a:extLst>
        </xdr:cNvPr>
        <xdr:cNvSpPr/>
      </xdr:nvSpPr>
      <xdr:spPr>
        <a:xfrm>
          <a:off x="11803380" y="10918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684</xdr:row>
      <xdr:rowOff>0</xdr:rowOff>
    </xdr:from>
    <xdr:to>
      <xdr:col>28</xdr:col>
      <xdr:colOff>83820</xdr:colOff>
      <xdr:row>684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44518D7-BD1A-475A-81B2-A769FFFDA53C}"/>
            </a:ext>
          </a:extLst>
        </xdr:cNvPr>
        <xdr:cNvSpPr/>
      </xdr:nvSpPr>
      <xdr:spPr>
        <a:xfrm rot="10800000">
          <a:off x="11803380" y="10955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685</xdr:row>
      <xdr:rowOff>0</xdr:rowOff>
    </xdr:from>
    <xdr:to>
      <xdr:col>28</xdr:col>
      <xdr:colOff>83820</xdr:colOff>
      <xdr:row>685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976BE31D-D868-4A8E-BD0B-E8464E9C019D}"/>
            </a:ext>
          </a:extLst>
        </xdr:cNvPr>
        <xdr:cNvSpPr/>
      </xdr:nvSpPr>
      <xdr:spPr>
        <a:xfrm rot="10800000">
          <a:off x="11803380" y="10955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686</xdr:row>
      <xdr:rowOff>0</xdr:rowOff>
    </xdr:from>
    <xdr:to>
      <xdr:col>28</xdr:col>
      <xdr:colOff>83820</xdr:colOff>
      <xdr:row>686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3769235E-9CED-4EF4-A221-FFD095752629}"/>
            </a:ext>
          </a:extLst>
        </xdr:cNvPr>
        <xdr:cNvSpPr/>
      </xdr:nvSpPr>
      <xdr:spPr>
        <a:xfrm>
          <a:off x="11803380" y="10991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687</xdr:row>
      <xdr:rowOff>0</xdr:rowOff>
    </xdr:from>
    <xdr:to>
      <xdr:col>28</xdr:col>
      <xdr:colOff>83820</xdr:colOff>
      <xdr:row>687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DFA70FB2-0DF6-4E71-9434-D8C6E656E3A5}"/>
            </a:ext>
          </a:extLst>
        </xdr:cNvPr>
        <xdr:cNvSpPr/>
      </xdr:nvSpPr>
      <xdr:spPr>
        <a:xfrm>
          <a:off x="11803380" y="10991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688</xdr:row>
      <xdr:rowOff>0</xdr:rowOff>
    </xdr:from>
    <xdr:to>
      <xdr:col>28</xdr:col>
      <xdr:colOff>83820</xdr:colOff>
      <xdr:row>688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B841A3A8-DE63-4A30-AFBC-C9DAD173AAD5}"/>
            </a:ext>
          </a:extLst>
        </xdr:cNvPr>
        <xdr:cNvSpPr/>
      </xdr:nvSpPr>
      <xdr:spPr>
        <a:xfrm>
          <a:off x="11803380" y="11010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689</xdr:row>
      <xdr:rowOff>0</xdr:rowOff>
    </xdr:from>
    <xdr:to>
      <xdr:col>28</xdr:col>
      <xdr:colOff>83820</xdr:colOff>
      <xdr:row>689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1DF6063D-E1E4-4DE0-ABE5-715EE94F270F}"/>
            </a:ext>
          </a:extLst>
        </xdr:cNvPr>
        <xdr:cNvSpPr/>
      </xdr:nvSpPr>
      <xdr:spPr>
        <a:xfrm>
          <a:off x="11803380" y="11028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690</xdr:row>
      <xdr:rowOff>0</xdr:rowOff>
    </xdr:from>
    <xdr:to>
      <xdr:col>28</xdr:col>
      <xdr:colOff>83820</xdr:colOff>
      <xdr:row>690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23E2934B-6F57-41B4-97DD-0808FA94D0D1}"/>
            </a:ext>
          </a:extLst>
        </xdr:cNvPr>
        <xdr:cNvSpPr/>
      </xdr:nvSpPr>
      <xdr:spPr>
        <a:xfrm>
          <a:off x="11803380" y="11046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690</xdr:row>
      <xdr:rowOff>0</xdr:rowOff>
    </xdr:from>
    <xdr:to>
      <xdr:col>28</xdr:col>
      <xdr:colOff>83820</xdr:colOff>
      <xdr:row>690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0D77F79D-EB5D-4B23-A842-EA225167A683}"/>
            </a:ext>
          </a:extLst>
        </xdr:cNvPr>
        <xdr:cNvSpPr/>
      </xdr:nvSpPr>
      <xdr:spPr>
        <a:xfrm>
          <a:off x="11803380" y="11046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152400</xdr:colOff>
      <xdr:row>691</xdr:row>
      <xdr:rowOff>0</xdr:rowOff>
    </xdr:from>
    <xdr:to>
      <xdr:col>28</xdr:col>
      <xdr:colOff>76200</xdr:colOff>
      <xdr:row>691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5FBD6406-539C-4F34-A1F8-CA3D2A42F21D}"/>
            </a:ext>
          </a:extLst>
        </xdr:cNvPr>
        <xdr:cNvSpPr/>
      </xdr:nvSpPr>
      <xdr:spPr>
        <a:xfrm rot="10800000">
          <a:off x="11795760" y="11083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152400</xdr:colOff>
      <xdr:row>692</xdr:row>
      <xdr:rowOff>0</xdr:rowOff>
    </xdr:from>
    <xdr:to>
      <xdr:col>28</xdr:col>
      <xdr:colOff>76200</xdr:colOff>
      <xdr:row>692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F8F6D43F-B0B8-4D32-B7CD-AB61464B874D}"/>
            </a:ext>
          </a:extLst>
        </xdr:cNvPr>
        <xdr:cNvSpPr/>
      </xdr:nvSpPr>
      <xdr:spPr>
        <a:xfrm rot="10800000">
          <a:off x="11795760" y="11083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693</xdr:row>
      <xdr:rowOff>0</xdr:rowOff>
    </xdr:from>
    <xdr:to>
      <xdr:col>28</xdr:col>
      <xdr:colOff>83820</xdr:colOff>
      <xdr:row>693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119C6E4C-9234-4FAE-BE67-54CA2ECF8765}"/>
            </a:ext>
          </a:extLst>
        </xdr:cNvPr>
        <xdr:cNvSpPr/>
      </xdr:nvSpPr>
      <xdr:spPr>
        <a:xfrm>
          <a:off x="11803380" y="11119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694</xdr:row>
      <xdr:rowOff>0</xdr:rowOff>
    </xdr:from>
    <xdr:to>
      <xdr:col>28</xdr:col>
      <xdr:colOff>83820</xdr:colOff>
      <xdr:row>694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C30BADAF-9E8E-485F-916E-49AEAD8DEE39}"/>
            </a:ext>
          </a:extLst>
        </xdr:cNvPr>
        <xdr:cNvSpPr/>
      </xdr:nvSpPr>
      <xdr:spPr>
        <a:xfrm>
          <a:off x="11803380" y="11119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695</xdr:row>
      <xdr:rowOff>0</xdr:rowOff>
    </xdr:from>
    <xdr:to>
      <xdr:col>28</xdr:col>
      <xdr:colOff>83820</xdr:colOff>
      <xdr:row>695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2073F7E2-ABD3-4FA0-8CAC-D6386C68A03A}"/>
            </a:ext>
          </a:extLst>
        </xdr:cNvPr>
        <xdr:cNvSpPr/>
      </xdr:nvSpPr>
      <xdr:spPr>
        <a:xfrm>
          <a:off x="11803380" y="11138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696</xdr:row>
      <xdr:rowOff>0</xdr:rowOff>
    </xdr:from>
    <xdr:to>
      <xdr:col>28</xdr:col>
      <xdr:colOff>83820</xdr:colOff>
      <xdr:row>696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387675D-91DD-4CA4-9D6C-1158F89B80E4}"/>
            </a:ext>
          </a:extLst>
        </xdr:cNvPr>
        <xdr:cNvSpPr/>
      </xdr:nvSpPr>
      <xdr:spPr>
        <a:xfrm rot="10800000">
          <a:off x="11803380" y="11174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697</xdr:row>
      <xdr:rowOff>0</xdr:rowOff>
    </xdr:from>
    <xdr:to>
      <xdr:col>28</xdr:col>
      <xdr:colOff>83820</xdr:colOff>
      <xdr:row>697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8DC25AA3-D52B-49AD-B882-62A2F9E74227}"/>
            </a:ext>
          </a:extLst>
        </xdr:cNvPr>
        <xdr:cNvSpPr/>
      </xdr:nvSpPr>
      <xdr:spPr>
        <a:xfrm rot="10800000">
          <a:off x="11803380" y="11193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698</xdr:row>
      <xdr:rowOff>0</xdr:rowOff>
    </xdr:from>
    <xdr:to>
      <xdr:col>28</xdr:col>
      <xdr:colOff>83820</xdr:colOff>
      <xdr:row>698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E8BBA2C6-ED73-47B3-BF89-D1DAAB078A89}"/>
            </a:ext>
          </a:extLst>
        </xdr:cNvPr>
        <xdr:cNvSpPr/>
      </xdr:nvSpPr>
      <xdr:spPr>
        <a:xfrm rot="10800000">
          <a:off x="11803380" y="11193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699</xdr:row>
      <xdr:rowOff>0</xdr:rowOff>
    </xdr:from>
    <xdr:to>
      <xdr:col>28</xdr:col>
      <xdr:colOff>83820</xdr:colOff>
      <xdr:row>699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6AC19884-F33D-444D-9483-34FB99DAF82C}"/>
            </a:ext>
          </a:extLst>
        </xdr:cNvPr>
        <xdr:cNvSpPr/>
      </xdr:nvSpPr>
      <xdr:spPr>
        <a:xfrm rot="10800000">
          <a:off x="11803380" y="112113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700</xdr:row>
      <xdr:rowOff>0</xdr:rowOff>
    </xdr:from>
    <xdr:to>
      <xdr:col>28</xdr:col>
      <xdr:colOff>83820</xdr:colOff>
      <xdr:row>700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9C78CA6C-76E1-4F9D-9B17-E19D1D4CF378}"/>
            </a:ext>
          </a:extLst>
        </xdr:cNvPr>
        <xdr:cNvSpPr/>
      </xdr:nvSpPr>
      <xdr:spPr>
        <a:xfrm>
          <a:off x="11803380" y="11247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701</xdr:row>
      <xdr:rowOff>0</xdr:rowOff>
    </xdr:from>
    <xdr:to>
      <xdr:col>28</xdr:col>
      <xdr:colOff>83820</xdr:colOff>
      <xdr:row>701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D8446FE3-4CC7-4FEA-9D39-9DA1389358B4}"/>
            </a:ext>
          </a:extLst>
        </xdr:cNvPr>
        <xdr:cNvSpPr/>
      </xdr:nvSpPr>
      <xdr:spPr>
        <a:xfrm>
          <a:off x="11803380" y="11247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702</xdr:row>
      <xdr:rowOff>0</xdr:rowOff>
    </xdr:from>
    <xdr:to>
      <xdr:col>28</xdr:col>
      <xdr:colOff>83820</xdr:colOff>
      <xdr:row>702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08696169-A5F7-4ED1-9C26-069E26679C5E}"/>
            </a:ext>
          </a:extLst>
        </xdr:cNvPr>
        <xdr:cNvSpPr/>
      </xdr:nvSpPr>
      <xdr:spPr>
        <a:xfrm>
          <a:off x="11803380" y="11266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703</xdr:row>
      <xdr:rowOff>0</xdr:rowOff>
    </xdr:from>
    <xdr:to>
      <xdr:col>28</xdr:col>
      <xdr:colOff>83820</xdr:colOff>
      <xdr:row>703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679B334C-CBA1-4B8D-A308-F97D931D0D48}"/>
            </a:ext>
          </a:extLst>
        </xdr:cNvPr>
        <xdr:cNvSpPr/>
      </xdr:nvSpPr>
      <xdr:spPr>
        <a:xfrm>
          <a:off x="11803380" y="11284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704</xdr:row>
      <xdr:rowOff>0</xdr:rowOff>
    </xdr:from>
    <xdr:to>
      <xdr:col>28</xdr:col>
      <xdr:colOff>83820</xdr:colOff>
      <xdr:row>704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F65A14F9-4E8A-48DB-84A1-7E223D2B45BB}"/>
            </a:ext>
          </a:extLst>
        </xdr:cNvPr>
        <xdr:cNvSpPr/>
      </xdr:nvSpPr>
      <xdr:spPr>
        <a:xfrm rot="10800000">
          <a:off x="11803380" y="113210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705</xdr:row>
      <xdr:rowOff>0</xdr:rowOff>
    </xdr:from>
    <xdr:to>
      <xdr:col>28</xdr:col>
      <xdr:colOff>83820</xdr:colOff>
      <xdr:row>705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854D414C-C2B3-43BF-8838-5B91F8A9D434}"/>
            </a:ext>
          </a:extLst>
        </xdr:cNvPr>
        <xdr:cNvSpPr/>
      </xdr:nvSpPr>
      <xdr:spPr>
        <a:xfrm rot="10800000">
          <a:off x="11803380" y="113210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706</xdr:row>
      <xdr:rowOff>0</xdr:rowOff>
    </xdr:from>
    <xdr:to>
      <xdr:col>28</xdr:col>
      <xdr:colOff>83820</xdr:colOff>
      <xdr:row>706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A68E6E77-2996-42C0-9704-B28E18CF2AC5}"/>
            </a:ext>
          </a:extLst>
        </xdr:cNvPr>
        <xdr:cNvSpPr/>
      </xdr:nvSpPr>
      <xdr:spPr>
        <a:xfrm rot="10800000">
          <a:off x="11803380" y="113393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707</xdr:row>
      <xdr:rowOff>0</xdr:rowOff>
    </xdr:from>
    <xdr:to>
      <xdr:col>28</xdr:col>
      <xdr:colOff>83820</xdr:colOff>
      <xdr:row>707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44F31DC8-EC5C-440A-9643-B921BC77669F}"/>
            </a:ext>
          </a:extLst>
        </xdr:cNvPr>
        <xdr:cNvSpPr/>
      </xdr:nvSpPr>
      <xdr:spPr>
        <a:xfrm>
          <a:off x="11803380" y="11375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708</xdr:row>
      <xdr:rowOff>0</xdr:rowOff>
    </xdr:from>
    <xdr:to>
      <xdr:col>28</xdr:col>
      <xdr:colOff>83820</xdr:colOff>
      <xdr:row>708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E96B2493-AD1A-47A8-9FD6-46BCF6BC6F8E}"/>
            </a:ext>
          </a:extLst>
        </xdr:cNvPr>
        <xdr:cNvSpPr/>
      </xdr:nvSpPr>
      <xdr:spPr>
        <a:xfrm>
          <a:off x="11803380" y="11375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709</xdr:row>
      <xdr:rowOff>0</xdr:rowOff>
    </xdr:from>
    <xdr:to>
      <xdr:col>28</xdr:col>
      <xdr:colOff>83820</xdr:colOff>
      <xdr:row>709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6C7FF258-B675-4728-B4A8-88189320D73D}"/>
            </a:ext>
          </a:extLst>
        </xdr:cNvPr>
        <xdr:cNvSpPr/>
      </xdr:nvSpPr>
      <xdr:spPr>
        <a:xfrm>
          <a:off x="11803380" y="11394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710</xdr:row>
      <xdr:rowOff>0</xdr:rowOff>
    </xdr:from>
    <xdr:to>
      <xdr:col>28</xdr:col>
      <xdr:colOff>83820</xdr:colOff>
      <xdr:row>710</xdr:row>
      <xdr:rowOff>114300</xdr:rowOff>
    </xdr:to>
    <xdr:sp macro="" textlink="">
      <xdr:nvSpPr>
        <xdr:cNvPr id="770" name="Arrow: Down 769">
          <a:extLst>
            <a:ext uri="{FF2B5EF4-FFF2-40B4-BE49-F238E27FC236}">
              <a16:creationId xmlns:a16="http://schemas.microsoft.com/office/drawing/2014/main" id="{F854A2F0-083B-499E-B39F-46B2462C9B97}"/>
            </a:ext>
          </a:extLst>
        </xdr:cNvPr>
        <xdr:cNvSpPr/>
      </xdr:nvSpPr>
      <xdr:spPr>
        <a:xfrm>
          <a:off x="11803380" y="11412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711</xdr:row>
      <xdr:rowOff>0</xdr:rowOff>
    </xdr:from>
    <xdr:to>
      <xdr:col>28</xdr:col>
      <xdr:colOff>83820</xdr:colOff>
      <xdr:row>711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203782CB-2200-40F8-AC23-5BC3A994E618}"/>
            </a:ext>
          </a:extLst>
        </xdr:cNvPr>
        <xdr:cNvSpPr/>
      </xdr:nvSpPr>
      <xdr:spPr>
        <a:xfrm rot="10800000">
          <a:off x="11803380" y="11449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712</xdr:row>
      <xdr:rowOff>0</xdr:rowOff>
    </xdr:from>
    <xdr:to>
      <xdr:col>28</xdr:col>
      <xdr:colOff>83820</xdr:colOff>
      <xdr:row>712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38BF6601-A3F8-4E67-BA05-379963457AED}"/>
            </a:ext>
          </a:extLst>
        </xdr:cNvPr>
        <xdr:cNvSpPr/>
      </xdr:nvSpPr>
      <xdr:spPr>
        <a:xfrm rot="10800000">
          <a:off x="11803380" y="11449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713</xdr:row>
      <xdr:rowOff>0</xdr:rowOff>
    </xdr:from>
    <xdr:to>
      <xdr:col>28</xdr:col>
      <xdr:colOff>83820</xdr:colOff>
      <xdr:row>713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90E5C566-A981-45F0-84B6-0ED7B8366725}"/>
            </a:ext>
          </a:extLst>
        </xdr:cNvPr>
        <xdr:cNvSpPr/>
      </xdr:nvSpPr>
      <xdr:spPr>
        <a:xfrm>
          <a:off x="11803380" y="11485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714</xdr:row>
      <xdr:rowOff>0</xdr:rowOff>
    </xdr:from>
    <xdr:to>
      <xdr:col>28</xdr:col>
      <xdr:colOff>83820</xdr:colOff>
      <xdr:row>714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669C6864-D6FF-4E5F-BFC4-7BBC61EC8DE3}"/>
            </a:ext>
          </a:extLst>
        </xdr:cNvPr>
        <xdr:cNvSpPr/>
      </xdr:nvSpPr>
      <xdr:spPr>
        <a:xfrm>
          <a:off x="11803380" y="11485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715</xdr:row>
      <xdr:rowOff>0</xdr:rowOff>
    </xdr:from>
    <xdr:to>
      <xdr:col>28</xdr:col>
      <xdr:colOff>83820</xdr:colOff>
      <xdr:row>715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EBC35CB4-AB6E-4A53-803A-04EE0724751B}"/>
            </a:ext>
          </a:extLst>
        </xdr:cNvPr>
        <xdr:cNvSpPr/>
      </xdr:nvSpPr>
      <xdr:spPr>
        <a:xfrm>
          <a:off x="11803380" y="11503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716</xdr:row>
      <xdr:rowOff>0</xdr:rowOff>
    </xdr:from>
    <xdr:to>
      <xdr:col>28</xdr:col>
      <xdr:colOff>83820</xdr:colOff>
      <xdr:row>716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FD3E9F22-52B9-47C0-9E44-EE06ECB1BF54}"/>
            </a:ext>
          </a:extLst>
        </xdr:cNvPr>
        <xdr:cNvSpPr/>
      </xdr:nvSpPr>
      <xdr:spPr>
        <a:xfrm>
          <a:off x="11803380" y="11522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717</xdr:row>
      <xdr:rowOff>0</xdr:rowOff>
    </xdr:from>
    <xdr:to>
      <xdr:col>28</xdr:col>
      <xdr:colOff>83820</xdr:colOff>
      <xdr:row>717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D3501788-3715-4466-BA5B-60BE1D94EBED}"/>
            </a:ext>
          </a:extLst>
        </xdr:cNvPr>
        <xdr:cNvSpPr/>
      </xdr:nvSpPr>
      <xdr:spPr>
        <a:xfrm rot="10800000">
          <a:off x="11803380" y="11558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718</xdr:row>
      <xdr:rowOff>0</xdr:rowOff>
    </xdr:from>
    <xdr:to>
      <xdr:col>28</xdr:col>
      <xdr:colOff>83820</xdr:colOff>
      <xdr:row>718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07EB92F3-A28C-427A-9286-3CCDA8C3CA29}"/>
            </a:ext>
          </a:extLst>
        </xdr:cNvPr>
        <xdr:cNvSpPr/>
      </xdr:nvSpPr>
      <xdr:spPr>
        <a:xfrm rot="10800000">
          <a:off x="11803380" y="11558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719</xdr:row>
      <xdr:rowOff>0</xdr:rowOff>
    </xdr:from>
    <xdr:to>
      <xdr:col>28</xdr:col>
      <xdr:colOff>83820</xdr:colOff>
      <xdr:row>719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FD3928D3-3019-4DB2-B415-2A8AF9529972}"/>
            </a:ext>
          </a:extLst>
        </xdr:cNvPr>
        <xdr:cNvSpPr/>
      </xdr:nvSpPr>
      <xdr:spPr>
        <a:xfrm rot="10800000">
          <a:off x="11803380" y="115770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720</xdr:row>
      <xdr:rowOff>0</xdr:rowOff>
    </xdr:from>
    <xdr:to>
      <xdr:col>28</xdr:col>
      <xdr:colOff>83820</xdr:colOff>
      <xdr:row>720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DD935D7E-1F3F-41B2-AE6C-2129C3C6BCC8}"/>
            </a:ext>
          </a:extLst>
        </xdr:cNvPr>
        <xdr:cNvSpPr/>
      </xdr:nvSpPr>
      <xdr:spPr>
        <a:xfrm rot="10800000">
          <a:off x="11803380" y="115953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721</xdr:row>
      <xdr:rowOff>0</xdr:rowOff>
    </xdr:from>
    <xdr:to>
      <xdr:col>28</xdr:col>
      <xdr:colOff>83820</xdr:colOff>
      <xdr:row>721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9A386924-267F-45A3-95F2-550D2B21A190}"/>
            </a:ext>
          </a:extLst>
        </xdr:cNvPr>
        <xdr:cNvSpPr/>
      </xdr:nvSpPr>
      <xdr:spPr>
        <a:xfrm>
          <a:off x="11803380" y="11631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722</xdr:row>
      <xdr:rowOff>0</xdr:rowOff>
    </xdr:from>
    <xdr:to>
      <xdr:col>28</xdr:col>
      <xdr:colOff>83820</xdr:colOff>
      <xdr:row>722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301572AE-4A95-48FE-AB50-4B19AA736E28}"/>
            </a:ext>
          </a:extLst>
        </xdr:cNvPr>
        <xdr:cNvSpPr/>
      </xdr:nvSpPr>
      <xdr:spPr>
        <a:xfrm>
          <a:off x="11803380" y="11631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723</xdr:row>
      <xdr:rowOff>0</xdr:rowOff>
    </xdr:from>
    <xdr:to>
      <xdr:col>28</xdr:col>
      <xdr:colOff>83820</xdr:colOff>
      <xdr:row>723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95457986-E6FB-4731-921F-BCEA3237652F}"/>
            </a:ext>
          </a:extLst>
        </xdr:cNvPr>
        <xdr:cNvSpPr/>
      </xdr:nvSpPr>
      <xdr:spPr>
        <a:xfrm>
          <a:off x="11803380" y="11650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724</xdr:row>
      <xdr:rowOff>0</xdr:rowOff>
    </xdr:from>
    <xdr:to>
      <xdr:col>28</xdr:col>
      <xdr:colOff>83820</xdr:colOff>
      <xdr:row>724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E660A317-B0B6-4EF9-9CD8-81EBB02C87FF}"/>
            </a:ext>
          </a:extLst>
        </xdr:cNvPr>
        <xdr:cNvSpPr/>
      </xdr:nvSpPr>
      <xdr:spPr>
        <a:xfrm rot="10800000">
          <a:off x="11803380" y="11686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725</xdr:row>
      <xdr:rowOff>0</xdr:rowOff>
    </xdr:from>
    <xdr:to>
      <xdr:col>28</xdr:col>
      <xdr:colOff>83820</xdr:colOff>
      <xdr:row>725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FFB21625-F8AE-426C-96AC-7253526141A1}"/>
            </a:ext>
          </a:extLst>
        </xdr:cNvPr>
        <xdr:cNvSpPr/>
      </xdr:nvSpPr>
      <xdr:spPr>
        <a:xfrm rot="10800000">
          <a:off x="11803380" y="11686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726</xdr:row>
      <xdr:rowOff>0</xdr:rowOff>
    </xdr:from>
    <xdr:to>
      <xdr:col>28</xdr:col>
      <xdr:colOff>83820</xdr:colOff>
      <xdr:row>726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AA2A2707-5E4F-4162-9ECC-2532CB752F46}"/>
            </a:ext>
          </a:extLst>
        </xdr:cNvPr>
        <xdr:cNvSpPr/>
      </xdr:nvSpPr>
      <xdr:spPr>
        <a:xfrm rot="10800000">
          <a:off x="11803380" y="11705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727</xdr:row>
      <xdr:rowOff>0</xdr:rowOff>
    </xdr:from>
    <xdr:to>
      <xdr:col>28</xdr:col>
      <xdr:colOff>83820</xdr:colOff>
      <xdr:row>727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74C83D27-35F2-4F69-83CF-93AF490DDAD5}"/>
            </a:ext>
          </a:extLst>
        </xdr:cNvPr>
        <xdr:cNvSpPr/>
      </xdr:nvSpPr>
      <xdr:spPr>
        <a:xfrm rot="10800000">
          <a:off x="11803380" y="117233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728</xdr:row>
      <xdr:rowOff>0</xdr:rowOff>
    </xdr:from>
    <xdr:to>
      <xdr:col>28</xdr:col>
      <xdr:colOff>83820</xdr:colOff>
      <xdr:row>728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2F45888D-714E-4BB7-98E3-2A25407C5154}"/>
            </a:ext>
          </a:extLst>
        </xdr:cNvPr>
        <xdr:cNvSpPr/>
      </xdr:nvSpPr>
      <xdr:spPr>
        <a:xfrm>
          <a:off x="11803380" y="11759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729</xdr:row>
      <xdr:rowOff>0</xdr:rowOff>
    </xdr:from>
    <xdr:to>
      <xdr:col>28</xdr:col>
      <xdr:colOff>83820</xdr:colOff>
      <xdr:row>729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2F08A8A2-0C1F-448C-8260-C365896CC88E}"/>
            </a:ext>
          </a:extLst>
        </xdr:cNvPr>
        <xdr:cNvSpPr/>
      </xdr:nvSpPr>
      <xdr:spPr>
        <a:xfrm>
          <a:off x="11803380" y="11759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730</xdr:row>
      <xdr:rowOff>0</xdr:rowOff>
    </xdr:from>
    <xdr:to>
      <xdr:col>28</xdr:col>
      <xdr:colOff>83820</xdr:colOff>
      <xdr:row>730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A725AB4-2BD4-43D5-A05E-0F07EFD032AA}"/>
            </a:ext>
          </a:extLst>
        </xdr:cNvPr>
        <xdr:cNvSpPr/>
      </xdr:nvSpPr>
      <xdr:spPr>
        <a:xfrm>
          <a:off x="11803380" y="11778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731</xdr:row>
      <xdr:rowOff>0</xdr:rowOff>
    </xdr:from>
    <xdr:to>
      <xdr:col>28</xdr:col>
      <xdr:colOff>83820</xdr:colOff>
      <xdr:row>731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49326BEA-AFD5-430F-ADCA-F819C85C5BE7}"/>
            </a:ext>
          </a:extLst>
        </xdr:cNvPr>
        <xdr:cNvSpPr/>
      </xdr:nvSpPr>
      <xdr:spPr>
        <a:xfrm rot="10800000">
          <a:off x="11803380" y="11814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732</xdr:row>
      <xdr:rowOff>0</xdr:rowOff>
    </xdr:from>
    <xdr:to>
      <xdr:col>28</xdr:col>
      <xdr:colOff>83820</xdr:colOff>
      <xdr:row>732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C32DD46-68F4-4243-8218-A8CB5FF3DB99}"/>
            </a:ext>
          </a:extLst>
        </xdr:cNvPr>
        <xdr:cNvSpPr/>
      </xdr:nvSpPr>
      <xdr:spPr>
        <a:xfrm rot="10800000">
          <a:off x="11803380" y="11814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733</xdr:row>
      <xdr:rowOff>0</xdr:rowOff>
    </xdr:from>
    <xdr:to>
      <xdr:col>28</xdr:col>
      <xdr:colOff>83820</xdr:colOff>
      <xdr:row>733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7BBFDC5E-5B99-4A42-AC04-8D73CE212011}"/>
            </a:ext>
          </a:extLst>
        </xdr:cNvPr>
        <xdr:cNvSpPr/>
      </xdr:nvSpPr>
      <xdr:spPr>
        <a:xfrm rot="10800000">
          <a:off x="11803380" y="118330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734</xdr:row>
      <xdr:rowOff>0</xdr:rowOff>
    </xdr:from>
    <xdr:to>
      <xdr:col>28</xdr:col>
      <xdr:colOff>83820</xdr:colOff>
      <xdr:row>734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C9B6D395-4D99-407A-8496-5940EEEA2F9B}"/>
            </a:ext>
          </a:extLst>
        </xdr:cNvPr>
        <xdr:cNvSpPr/>
      </xdr:nvSpPr>
      <xdr:spPr>
        <a:xfrm rot="10800000">
          <a:off x="11803380" y="118513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735</xdr:row>
      <xdr:rowOff>0</xdr:rowOff>
    </xdr:from>
    <xdr:to>
      <xdr:col>28</xdr:col>
      <xdr:colOff>83820</xdr:colOff>
      <xdr:row>735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7D6A7385-F5CF-4B7A-A809-6B6CB99F14FB}"/>
            </a:ext>
          </a:extLst>
        </xdr:cNvPr>
        <xdr:cNvSpPr/>
      </xdr:nvSpPr>
      <xdr:spPr>
        <a:xfrm>
          <a:off x="11803380" y="11887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736</xdr:row>
      <xdr:rowOff>0</xdr:rowOff>
    </xdr:from>
    <xdr:to>
      <xdr:col>28</xdr:col>
      <xdr:colOff>83820</xdr:colOff>
      <xdr:row>736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1D139C01-4435-4F12-81BD-2B84FF6D06FD}"/>
            </a:ext>
          </a:extLst>
        </xdr:cNvPr>
        <xdr:cNvSpPr/>
      </xdr:nvSpPr>
      <xdr:spPr>
        <a:xfrm>
          <a:off x="11803380" y="11887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737</xdr:row>
      <xdr:rowOff>0</xdr:rowOff>
    </xdr:from>
    <xdr:to>
      <xdr:col>28</xdr:col>
      <xdr:colOff>83820</xdr:colOff>
      <xdr:row>737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D13E5A41-BFD8-421B-95DB-E19BCE5A4FD8}"/>
            </a:ext>
          </a:extLst>
        </xdr:cNvPr>
        <xdr:cNvSpPr/>
      </xdr:nvSpPr>
      <xdr:spPr>
        <a:xfrm>
          <a:off x="11803380" y="11906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738</xdr:row>
      <xdr:rowOff>0</xdr:rowOff>
    </xdr:from>
    <xdr:to>
      <xdr:col>28</xdr:col>
      <xdr:colOff>83820</xdr:colOff>
      <xdr:row>738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1B35E4A2-6316-4CFE-9753-D72F0F97ADBE}"/>
            </a:ext>
          </a:extLst>
        </xdr:cNvPr>
        <xdr:cNvSpPr/>
      </xdr:nvSpPr>
      <xdr:spPr>
        <a:xfrm rot="10800000">
          <a:off x="11803380" y="11942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739</xdr:row>
      <xdr:rowOff>0</xdr:rowOff>
    </xdr:from>
    <xdr:to>
      <xdr:col>28</xdr:col>
      <xdr:colOff>83820</xdr:colOff>
      <xdr:row>739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FBAA6A89-375E-4015-925A-DE7CE8E9F189}"/>
            </a:ext>
          </a:extLst>
        </xdr:cNvPr>
        <xdr:cNvSpPr/>
      </xdr:nvSpPr>
      <xdr:spPr>
        <a:xfrm rot="10800000">
          <a:off x="11803380" y="11942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740</xdr:row>
      <xdr:rowOff>0</xdr:rowOff>
    </xdr:from>
    <xdr:to>
      <xdr:col>28</xdr:col>
      <xdr:colOff>83820</xdr:colOff>
      <xdr:row>740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A64B4A8E-069A-4A3F-829E-92DDE8D61799}"/>
            </a:ext>
          </a:extLst>
        </xdr:cNvPr>
        <xdr:cNvSpPr/>
      </xdr:nvSpPr>
      <xdr:spPr>
        <a:xfrm rot="10800000">
          <a:off x="11803380" y="11961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741</xdr:row>
      <xdr:rowOff>0</xdr:rowOff>
    </xdr:from>
    <xdr:to>
      <xdr:col>28</xdr:col>
      <xdr:colOff>83820</xdr:colOff>
      <xdr:row>741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94A38725-5E3E-45C3-B0BA-D3A85599E8A1}"/>
            </a:ext>
          </a:extLst>
        </xdr:cNvPr>
        <xdr:cNvSpPr/>
      </xdr:nvSpPr>
      <xdr:spPr>
        <a:xfrm rot="10800000">
          <a:off x="11803380" y="119794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742</xdr:row>
      <xdr:rowOff>0</xdr:rowOff>
    </xdr:from>
    <xdr:to>
      <xdr:col>28</xdr:col>
      <xdr:colOff>83820</xdr:colOff>
      <xdr:row>742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5E4F423A-33B8-4EB7-9D9E-583D2354DDC8}"/>
            </a:ext>
          </a:extLst>
        </xdr:cNvPr>
        <xdr:cNvSpPr/>
      </xdr:nvSpPr>
      <xdr:spPr>
        <a:xfrm>
          <a:off x="11803380" y="12015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743</xdr:row>
      <xdr:rowOff>0</xdr:rowOff>
    </xdr:from>
    <xdr:to>
      <xdr:col>28</xdr:col>
      <xdr:colOff>83820</xdr:colOff>
      <xdr:row>743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99DFBA07-74DF-4983-8FD1-FA7EE7A2E99F}"/>
            </a:ext>
          </a:extLst>
        </xdr:cNvPr>
        <xdr:cNvSpPr/>
      </xdr:nvSpPr>
      <xdr:spPr>
        <a:xfrm>
          <a:off x="11803380" y="12015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744</xdr:row>
      <xdr:rowOff>0</xdr:rowOff>
    </xdr:from>
    <xdr:to>
      <xdr:col>28</xdr:col>
      <xdr:colOff>83820</xdr:colOff>
      <xdr:row>744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2A98BE9A-5E98-4E44-AB58-62ABB124A885}"/>
            </a:ext>
          </a:extLst>
        </xdr:cNvPr>
        <xdr:cNvSpPr/>
      </xdr:nvSpPr>
      <xdr:spPr>
        <a:xfrm>
          <a:off x="11803380" y="12034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746</xdr:row>
      <xdr:rowOff>0</xdr:rowOff>
    </xdr:from>
    <xdr:to>
      <xdr:col>28</xdr:col>
      <xdr:colOff>83820</xdr:colOff>
      <xdr:row>746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0F5577E4-7014-4243-8BB3-7DDFF3864DC9}"/>
            </a:ext>
          </a:extLst>
        </xdr:cNvPr>
        <xdr:cNvSpPr/>
      </xdr:nvSpPr>
      <xdr:spPr>
        <a:xfrm rot="10800000">
          <a:off x="11803380" y="12089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745</xdr:row>
      <xdr:rowOff>0</xdr:rowOff>
    </xdr:from>
    <xdr:to>
      <xdr:col>28</xdr:col>
      <xdr:colOff>83820</xdr:colOff>
      <xdr:row>745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1294B341-01F7-4B18-BD69-5D27EE4E437F}"/>
            </a:ext>
          </a:extLst>
        </xdr:cNvPr>
        <xdr:cNvSpPr/>
      </xdr:nvSpPr>
      <xdr:spPr>
        <a:xfrm rot="10800000">
          <a:off x="11803380" y="12070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747</xdr:row>
      <xdr:rowOff>0</xdr:rowOff>
    </xdr:from>
    <xdr:to>
      <xdr:col>28</xdr:col>
      <xdr:colOff>83820</xdr:colOff>
      <xdr:row>747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08AB9AD5-BB72-4F02-B0DE-9EE77EA9C1B0}"/>
            </a:ext>
          </a:extLst>
        </xdr:cNvPr>
        <xdr:cNvSpPr/>
      </xdr:nvSpPr>
      <xdr:spPr>
        <a:xfrm rot="10800000">
          <a:off x="11803380" y="12089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748</xdr:row>
      <xdr:rowOff>0</xdr:rowOff>
    </xdr:from>
    <xdr:to>
      <xdr:col>28</xdr:col>
      <xdr:colOff>83820</xdr:colOff>
      <xdr:row>748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67676982-AE87-4578-A4E3-CCC6A4D8380A}"/>
            </a:ext>
          </a:extLst>
        </xdr:cNvPr>
        <xdr:cNvSpPr/>
      </xdr:nvSpPr>
      <xdr:spPr>
        <a:xfrm rot="10800000">
          <a:off x="11803380" y="121074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749</xdr:row>
      <xdr:rowOff>0</xdr:rowOff>
    </xdr:from>
    <xdr:to>
      <xdr:col>28</xdr:col>
      <xdr:colOff>83820</xdr:colOff>
      <xdr:row>749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8C4175D1-9E40-4BE2-8AE6-3D6F2038E884}"/>
            </a:ext>
          </a:extLst>
        </xdr:cNvPr>
        <xdr:cNvSpPr/>
      </xdr:nvSpPr>
      <xdr:spPr>
        <a:xfrm>
          <a:off x="11803380" y="12143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750</xdr:row>
      <xdr:rowOff>0</xdr:rowOff>
    </xdr:from>
    <xdr:to>
      <xdr:col>28</xdr:col>
      <xdr:colOff>83820</xdr:colOff>
      <xdr:row>750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FBA34434-0ED7-4305-97DC-4F8DBBC1D6BB}"/>
            </a:ext>
          </a:extLst>
        </xdr:cNvPr>
        <xdr:cNvSpPr/>
      </xdr:nvSpPr>
      <xdr:spPr>
        <a:xfrm>
          <a:off x="11803380" y="12143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751</xdr:row>
      <xdr:rowOff>0</xdr:rowOff>
    </xdr:from>
    <xdr:to>
      <xdr:col>28</xdr:col>
      <xdr:colOff>83820</xdr:colOff>
      <xdr:row>751</xdr:row>
      <xdr:rowOff>114300</xdr:rowOff>
    </xdr:to>
    <xdr:sp macro="" textlink="">
      <xdr:nvSpPr>
        <xdr:cNvPr id="760" name="Arrow: Down 759">
          <a:extLst>
            <a:ext uri="{FF2B5EF4-FFF2-40B4-BE49-F238E27FC236}">
              <a16:creationId xmlns:a16="http://schemas.microsoft.com/office/drawing/2014/main" id="{3E167085-2938-42FD-BB84-A95F2A3FFFED}"/>
            </a:ext>
          </a:extLst>
        </xdr:cNvPr>
        <xdr:cNvSpPr/>
      </xdr:nvSpPr>
      <xdr:spPr>
        <a:xfrm>
          <a:off x="11803380" y="12162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752</xdr:row>
      <xdr:rowOff>0</xdr:rowOff>
    </xdr:from>
    <xdr:to>
      <xdr:col>28</xdr:col>
      <xdr:colOff>83820</xdr:colOff>
      <xdr:row>752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DFFFD66F-C0DC-41E6-A32E-4517BAF8DBB2}"/>
            </a:ext>
          </a:extLst>
        </xdr:cNvPr>
        <xdr:cNvSpPr/>
      </xdr:nvSpPr>
      <xdr:spPr>
        <a:xfrm>
          <a:off x="11803380" y="12180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753</xdr:row>
      <xdr:rowOff>0</xdr:rowOff>
    </xdr:from>
    <xdr:to>
      <xdr:col>28</xdr:col>
      <xdr:colOff>83820</xdr:colOff>
      <xdr:row>753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CA19DD5E-51B5-4792-AE00-395CB4E460E2}"/>
            </a:ext>
          </a:extLst>
        </xdr:cNvPr>
        <xdr:cNvSpPr/>
      </xdr:nvSpPr>
      <xdr:spPr>
        <a:xfrm>
          <a:off x="11803380" y="12217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754</xdr:row>
      <xdr:rowOff>0</xdr:rowOff>
    </xdr:from>
    <xdr:to>
      <xdr:col>28</xdr:col>
      <xdr:colOff>83820</xdr:colOff>
      <xdr:row>754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616BADF7-02A1-4FE3-99EA-6A95789FDE01}"/>
            </a:ext>
          </a:extLst>
        </xdr:cNvPr>
        <xdr:cNvSpPr/>
      </xdr:nvSpPr>
      <xdr:spPr>
        <a:xfrm rot="10800000">
          <a:off x="11803380" y="122354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755</xdr:row>
      <xdr:rowOff>0</xdr:rowOff>
    </xdr:from>
    <xdr:to>
      <xdr:col>28</xdr:col>
      <xdr:colOff>83820</xdr:colOff>
      <xdr:row>755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40DF9465-684D-492D-B625-49B914391F75}"/>
            </a:ext>
          </a:extLst>
        </xdr:cNvPr>
        <xdr:cNvSpPr/>
      </xdr:nvSpPr>
      <xdr:spPr>
        <a:xfrm rot="10800000">
          <a:off x="11803380" y="122354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756</xdr:row>
      <xdr:rowOff>0</xdr:rowOff>
    </xdr:from>
    <xdr:to>
      <xdr:col>28</xdr:col>
      <xdr:colOff>83820</xdr:colOff>
      <xdr:row>756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93E21FC5-22CD-44CB-A4E9-8A40135A5A6F}"/>
            </a:ext>
          </a:extLst>
        </xdr:cNvPr>
        <xdr:cNvSpPr/>
      </xdr:nvSpPr>
      <xdr:spPr>
        <a:xfrm>
          <a:off x="11803380" y="12272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757</xdr:row>
      <xdr:rowOff>0</xdr:rowOff>
    </xdr:from>
    <xdr:to>
      <xdr:col>28</xdr:col>
      <xdr:colOff>83820</xdr:colOff>
      <xdr:row>757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80C321E9-F539-410F-8C83-234453B57D7D}"/>
            </a:ext>
          </a:extLst>
        </xdr:cNvPr>
        <xdr:cNvSpPr/>
      </xdr:nvSpPr>
      <xdr:spPr>
        <a:xfrm>
          <a:off x="11803380" y="12272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758</xdr:row>
      <xdr:rowOff>0</xdr:rowOff>
    </xdr:from>
    <xdr:to>
      <xdr:col>28</xdr:col>
      <xdr:colOff>83820</xdr:colOff>
      <xdr:row>758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5768D661-6531-421E-8FD9-CFF70EC5D8F1}"/>
            </a:ext>
          </a:extLst>
        </xdr:cNvPr>
        <xdr:cNvSpPr/>
      </xdr:nvSpPr>
      <xdr:spPr>
        <a:xfrm>
          <a:off x="11803380" y="12290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759</xdr:row>
      <xdr:rowOff>0</xdr:rowOff>
    </xdr:from>
    <xdr:to>
      <xdr:col>28</xdr:col>
      <xdr:colOff>83820</xdr:colOff>
      <xdr:row>759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0D0FCD41-1596-4AE2-AE82-937238DBB0FD}"/>
            </a:ext>
          </a:extLst>
        </xdr:cNvPr>
        <xdr:cNvSpPr/>
      </xdr:nvSpPr>
      <xdr:spPr>
        <a:xfrm>
          <a:off x="11803380" y="12308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763</xdr:row>
      <xdr:rowOff>0</xdr:rowOff>
    </xdr:from>
    <xdr:to>
      <xdr:col>28</xdr:col>
      <xdr:colOff>83820</xdr:colOff>
      <xdr:row>763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5089DC8F-F4AD-49B4-90F9-628DB6BB60D8}"/>
            </a:ext>
          </a:extLst>
        </xdr:cNvPr>
        <xdr:cNvSpPr/>
      </xdr:nvSpPr>
      <xdr:spPr>
        <a:xfrm>
          <a:off x="11803380" y="1238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764</xdr:row>
      <xdr:rowOff>0</xdr:rowOff>
    </xdr:from>
    <xdr:to>
      <xdr:col>28</xdr:col>
      <xdr:colOff>83820</xdr:colOff>
      <xdr:row>764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D05DDEE1-CCD3-45FE-9EEB-5D73AEED9CD8}"/>
            </a:ext>
          </a:extLst>
        </xdr:cNvPr>
        <xdr:cNvSpPr/>
      </xdr:nvSpPr>
      <xdr:spPr>
        <a:xfrm>
          <a:off x="11803380" y="1240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765</xdr:row>
      <xdr:rowOff>0</xdr:rowOff>
    </xdr:from>
    <xdr:to>
      <xdr:col>28</xdr:col>
      <xdr:colOff>83820</xdr:colOff>
      <xdr:row>765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FB410BF0-7194-46E9-B4F8-9BABC6ACAFCF}"/>
            </a:ext>
          </a:extLst>
        </xdr:cNvPr>
        <xdr:cNvSpPr/>
      </xdr:nvSpPr>
      <xdr:spPr>
        <a:xfrm>
          <a:off x="11803380" y="12418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766</xdr:row>
      <xdr:rowOff>0</xdr:rowOff>
    </xdr:from>
    <xdr:to>
      <xdr:col>28</xdr:col>
      <xdr:colOff>83820</xdr:colOff>
      <xdr:row>766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920A5A51-7D47-4444-9AC0-E5EEF6BC59DB}"/>
            </a:ext>
          </a:extLst>
        </xdr:cNvPr>
        <xdr:cNvSpPr/>
      </xdr:nvSpPr>
      <xdr:spPr>
        <a:xfrm>
          <a:off x="11803380" y="1243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767</xdr:row>
      <xdr:rowOff>0</xdr:rowOff>
    </xdr:from>
    <xdr:to>
      <xdr:col>28</xdr:col>
      <xdr:colOff>83820</xdr:colOff>
      <xdr:row>767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C4F25BE-69A6-4D09-9B95-9FB9BA1313F8}"/>
            </a:ext>
          </a:extLst>
        </xdr:cNvPr>
        <xdr:cNvSpPr/>
      </xdr:nvSpPr>
      <xdr:spPr>
        <a:xfrm>
          <a:off x="11803380" y="12454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770</xdr:row>
      <xdr:rowOff>0</xdr:rowOff>
    </xdr:from>
    <xdr:to>
      <xdr:col>28</xdr:col>
      <xdr:colOff>83820</xdr:colOff>
      <xdr:row>770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7C64138B-E428-4309-91BF-B323417ED27B}"/>
            </a:ext>
          </a:extLst>
        </xdr:cNvPr>
        <xdr:cNvSpPr/>
      </xdr:nvSpPr>
      <xdr:spPr>
        <a:xfrm>
          <a:off x="11803380" y="12509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771</xdr:row>
      <xdr:rowOff>0</xdr:rowOff>
    </xdr:from>
    <xdr:to>
      <xdr:col>28</xdr:col>
      <xdr:colOff>83820</xdr:colOff>
      <xdr:row>771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CCB82667-39EA-4A0E-A03F-BF3D56930C87}"/>
            </a:ext>
          </a:extLst>
        </xdr:cNvPr>
        <xdr:cNvSpPr/>
      </xdr:nvSpPr>
      <xdr:spPr>
        <a:xfrm>
          <a:off x="11803380" y="12528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772</xdr:row>
      <xdr:rowOff>0</xdr:rowOff>
    </xdr:from>
    <xdr:to>
      <xdr:col>28</xdr:col>
      <xdr:colOff>83820</xdr:colOff>
      <xdr:row>772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937197FB-B2B6-42A8-969D-C44A719C4DC3}"/>
            </a:ext>
          </a:extLst>
        </xdr:cNvPr>
        <xdr:cNvSpPr/>
      </xdr:nvSpPr>
      <xdr:spPr>
        <a:xfrm>
          <a:off x="11803380" y="12546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778</xdr:row>
      <xdr:rowOff>0</xdr:rowOff>
    </xdr:from>
    <xdr:to>
      <xdr:col>28</xdr:col>
      <xdr:colOff>83820</xdr:colOff>
      <xdr:row>778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5D6A2994-8526-4437-942C-EC1F19D58F59}"/>
            </a:ext>
          </a:extLst>
        </xdr:cNvPr>
        <xdr:cNvSpPr/>
      </xdr:nvSpPr>
      <xdr:spPr>
        <a:xfrm>
          <a:off x="11803380" y="12674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760</xdr:row>
      <xdr:rowOff>0</xdr:rowOff>
    </xdr:from>
    <xdr:to>
      <xdr:col>28</xdr:col>
      <xdr:colOff>83820</xdr:colOff>
      <xdr:row>760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B27BE98C-C769-4E44-8850-9DCBAE99EA20}"/>
            </a:ext>
          </a:extLst>
        </xdr:cNvPr>
        <xdr:cNvSpPr/>
      </xdr:nvSpPr>
      <xdr:spPr>
        <a:xfrm rot="10800000">
          <a:off x="11803380" y="123451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768</xdr:row>
      <xdr:rowOff>0</xdr:rowOff>
    </xdr:from>
    <xdr:to>
      <xdr:col>28</xdr:col>
      <xdr:colOff>83820</xdr:colOff>
      <xdr:row>768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2B600585-6945-4955-880B-F71A75152235}"/>
            </a:ext>
          </a:extLst>
        </xdr:cNvPr>
        <xdr:cNvSpPr/>
      </xdr:nvSpPr>
      <xdr:spPr>
        <a:xfrm rot="10800000">
          <a:off x="11803380" y="124914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761</xdr:row>
      <xdr:rowOff>0</xdr:rowOff>
    </xdr:from>
    <xdr:to>
      <xdr:col>28</xdr:col>
      <xdr:colOff>83820</xdr:colOff>
      <xdr:row>761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EF096100-50D9-4726-AC82-765D8BC496AA}"/>
            </a:ext>
          </a:extLst>
        </xdr:cNvPr>
        <xdr:cNvSpPr/>
      </xdr:nvSpPr>
      <xdr:spPr>
        <a:xfrm rot="10800000">
          <a:off x="11803380" y="123634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769</xdr:row>
      <xdr:rowOff>0</xdr:rowOff>
    </xdr:from>
    <xdr:to>
      <xdr:col>28</xdr:col>
      <xdr:colOff>83820</xdr:colOff>
      <xdr:row>769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CA3B9E8F-652F-41E3-8196-58E728B4E5DC}"/>
            </a:ext>
          </a:extLst>
        </xdr:cNvPr>
        <xdr:cNvSpPr/>
      </xdr:nvSpPr>
      <xdr:spPr>
        <a:xfrm rot="10800000">
          <a:off x="11803380" y="125097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762</xdr:row>
      <xdr:rowOff>0</xdr:rowOff>
    </xdr:from>
    <xdr:to>
      <xdr:col>28</xdr:col>
      <xdr:colOff>83820</xdr:colOff>
      <xdr:row>762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BB7C843C-6CCF-486F-BA7E-C7E9008EB309}"/>
            </a:ext>
          </a:extLst>
        </xdr:cNvPr>
        <xdr:cNvSpPr/>
      </xdr:nvSpPr>
      <xdr:spPr>
        <a:xfrm rot="10800000">
          <a:off x="11803380" y="123817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773</xdr:row>
      <xdr:rowOff>0</xdr:rowOff>
    </xdr:from>
    <xdr:to>
      <xdr:col>28</xdr:col>
      <xdr:colOff>83820</xdr:colOff>
      <xdr:row>773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4BFB8B10-D40A-46EC-BF0D-7335F17FB236}"/>
            </a:ext>
          </a:extLst>
        </xdr:cNvPr>
        <xdr:cNvSpPr/>
      </xdr:nvSpPr>
      <xdr:spPr>
        <a:xfrm rot="10800000">
          <a:off x="11803380" y="125829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777</xdr:row>
      <xdr:rowOff>0</xdr:rowOff>
    </xdr:from>
    <xdr:to>
      <xdr:col>28</xdr:col>
      <xdr:colOff>83820</xdr:colOff>
      <xdr:row>777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D8F93188-7166-4292-B7F4-A1550436916F}"/>
            </a:ext>
          </a:extLst>
        </xdr:cNvPr>
        <xdr:cNvSpPr/>
      </xdr:nvSpPr>
      <xdr:spPr>
        <a:xfrm rot="10800000">
          <a:off x="11803380" y="12656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774</xdr:row>
      <xdr:rowOff>0</xdr:rowOff>
    </xdr:from>
    <xdr:to>
      <xdr:col>28</xdr:col>
      <xdr:colOff>83820</xdr:colOff>
      <xdr:row>774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DF057C78-CBE2-4DF8-B6E1-2E21F4EA3D70}"/>
            </a:ext>
          </a:extLst>
        </xdr:cNvPr>
        <xdr:cNvSpPr/>
      </xdr:nvSpPr>
      <xdr:spPr>
        <a:xfrm rot="10800000">
          <a:off x="11803380" y="126011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775</xdr:row>
      <xdr:rowOff>0</xdr:rowOff>
    </xdr:from>
    <xdr:to>
      <xdr:col>28</xdr:col>
      <xdr:colOff>83820</xdr:colOff>
      <xdr:row>775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237F9E4F-3971-4148-BAFC-0FE1E10633D1}"/>
            </a:ext>
          </a:extLst>
        </xdr:cNvPr>
        <xdr:cNvSpPr/>
      </xdr:nvSpPr>
      <xdr:spPr>
        <a:xfrm rot="10800000">
          <a:off x="11803380" y="126194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776</xdr:row>
      <xdr:rowOff>0</xdr:rowOff>
    </xdr:from>
    <xdr:to>
      <xdr:col>28</xdr:col>
      <xdr:colOff>83820</xdr:colOff>
      <xdr:row>776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3CC473AF-2289-4783-89D5-6DF94BC9D801}"/>
            </a:ext>
          </a:extLst>
        </xdr:cNvPr>
        <xdr:cNvSpPr/>
      </xdr:nvSpPr>
      <xdr:spPr>
        <a:xfrm rot="10800000">
          <a:off x="11803380" y="126377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779</xdr:row>
      <xdr:rowOff>0</xdr:rowOff>
    </xdr:from>
    <xdr:to>
      <xdr:col>28</xdr:col>
      <xdr:colOff>83820</xdr:colOff>
      <xdr:row>779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CE3FEB5-EE88-421F-BAEF-AB2437E8CCE3}"/>
            </a:ext>
          </a:extLst>
        </xdr:cNvPr>
        <xdr:cNvSpPr/>
      </xdr:nvSpPr>
      <xdr:spPr>
        <a:xfrm>
          <a:off x="11803380" y="12674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780</xdr:row>
      <xdr:rowOff>0</xdr:rowOff>
    </xdr:from>
    <xdr:to>
      <xdr:col>28</xdr:col>
      <xdr:colOff>83820</xdr:colOff>
      <xdr:row>780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F7DA2B0A-6626-4422-9CFA-58C4762C8400}"/>
            </a:ext>
          </a:extLst>
        </xdr:cNvPr>
        <xdr:cNvSpPr/>
      </xdr:nvSpPr>
      <xdr:spPr>
        <a:xfrm>
          <a:off x="11803380" y="12692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781</xdr:row>
      <xdr:rowOff>0</xdr:rowOff>
    </xdr:from>
    <xdr:to>
      <xdr:col>28</xdr:col>
      <xdr:colOff>83820</xdr:colOff>
      <xdr:row>781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5D40B324-6DCC-4C9B-8E50-CB2540A09CF5}"/>
            </a:ext>
          </a:extLst>
        </xdr:cNvPr>
        <xdr:cNvSpPr/>
      </xdr:nvSpPr>
      <xdr:spPr>
        <a:xfrm>
          <a:off x="11803380" y="12710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784</xdr:row>
      <xdr:rowOff>0</xdr:rowOff>
    </xdr:from>
    <xdr:to>
      <xdr:col>28</xdr:col>
      <xdr:colOff>83820</xdr:colOff>
      <xdr:row>784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88FAA5E7-B635-4B77-9413-30165812EA78}"/>
            </a:ext>
          </a:extLst>
        </xdr:cNvPr>
        <xdr:cNvSpPr/>
      </xdr:nvSpPr>
      <xdr:spPr>
        <a:xfrm>
          <a:off x="11803380" y="12765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785</xdr:row>
      <xdr:rowOff>0</xdr:rowOff>
    </xdr:from>
    <xdr:to>
      <xdr:col>28</xdr:col>
      <xdr:colOff>83820</xdr:colOff>
      <xdr:row>785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CA891948-06EF-4AAD-AC2D-764B70531EF8}"/>
            </a:ext>
          </a:extLst>
        </xdr:cNvPr>
        <xdr:cNvSpPr/>
      </xdr:nvSpPr>
      <xdr:spPr>
        <a:xfrm>
          <a:off x="11803380" y="12784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782</xdr:row>
      <xdr:rowOff>0</xdr:rowOff>
    </xdr:from>
    <xdr:to>
      <xdr:col>28</xdr:col>
      <xdr:colOff>83820</xdr:colOff>
      <xdr:row>782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D62A3267-4C82-4E1C-9FD7-7693CC606D88}"/>
            </a:ext>
          </a:extLst>
        </xdr:cNvPr>
        <xdr:cNvSpPr/>
      </xdr:nvSpPr>
      <xdr:spPr>
        <a:xfrm rot="10800000">
          <a:off x="11803380" y="127474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783</xdr:row>
      <xdr:rowOff>0</xdr:rowOff>
    </xdr:from>
    <xdr:to>
      <xdr:col>28</xdr:col>
      <xdr:colOff>83820</xdr:colOff>
      <xdr:row>783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5BF7CF3F-3A5C-44AF-9518-1B9291A3DD24}"/>
            </a:ext>
          </a:extLst>
        </xdr:cNvPr>
        <xdr:cNvSpPr/>
      </xdr:nvSpPr>
      <xdr:spPr>
        <a:xfrm rot="10800000">
          <a:off x="11803380" y="127657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786</xdr:row>
      <xdr:rowOff>0</xdr:rowOff>
    </xdr:from>
    <xdr:to>
      <xdr:col>28</xdr:col>
      <xdr:colOff>83820</xdr:colOff>
      <xdr:row>786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32CD9462-50E6-4795-A92A-9F3CD9D08472}"/>
            </a:ext>
          </a:extLst>
        </xdr:cNvPr>
        <xdr:cNvSpPr/>
      </xdr:nvSpPr>
      <xdr:spPr>
        <a:xfrm>
          <a:off x="11803380" y="12802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787</xdr:row>
      <xdr:rowOff>0</xdr:rowOff>
    </xdr:from>
    <xdr:to>
      <xdr:col>28</xdr:col>
      <xdr:colOff>83820</xdr:colOff>
      <xdr:row>787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F56D5314-0914-4740-A2FB-AE2EA8C4028B}"/>
            </a:ext>
          </a:extLst>
        </xdr:cNvPr>
        <xdr:cNvSpPr/>
      </xdr:nvSpPr>
      <xdr:spPr>
        <a:xfrm>
          <a:off x="11803380" y="12820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788</xdr:row>
      <xdr:rowOff>0</xdr:rowOff>
    </xdr:from>
    <xdr:to>
      <xdr:col>28</xdr:col>
      <xdr:colOff>83820</xdr:colOff>
      <xdr:row>788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F53D0612-418B-4F0B-9328-64A15F06478A}"/>
            </a:ext>
          </a:extLst>
        </xdr:cNvPr>
        <xdr:cNvSpPr/>
      </xdr:nvSpPr>
      <xdr:spPr>
        <a:xfrm rot="10800000">
          <a:off x="11803380" y="128572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789</xdr:row>
      <xdr:rowOff>0</xdr:rowOff>
    </xdr:from>
    <xdr:to>
      <xdr:col>28</xdr:col>
      <xdr:colOff>83820</xdr:colOff>
      <xdr:row>789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3D23179E-543A-4CC5-A5C4-D3CED1ED744E}"/>
            </a:ext>
          </a:extLst>
        </xdr:cNvPr>
        <xdr:cNvSpPr/>
      </xdr:nvSpPr>
      <xdr:spPr>
        <a:xfrm rot="10800000">
          <a:off x="11803380" y="128572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790</xdr:row>
      <xdr:rowOff>0</xdr:rowOff>
    </xdr:from>
    <xdr:to>
      <xdr:col>28</xdr:col>
      <xdr:colOff>83820</xdr:colOff>
      <xdr:row>790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F438EE50-74A9-4F6B-B6EC-28F7BEEF87D4}"/>
            </a:ext>
          </a:extLst>
        </xdr:cNvPr>
        <xdr:cNvSpPr/>
      </xdr:nvSpPr>
      <xdr:spPr>
        <a:xfrm rot="10800000">
          <a:off x="11803380" y="128755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791</xdr:row>
      <xdr:rowOff>0</xdr:rowOff>
    </xdr:from>
    <xdr:to>
      <xdr:col>28</xdr:col>
      <xdr:colOff>83820</xdr:colOff>
      <xdr:row>791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C9581BC-49A5-45AA-97DD-A3A8CFAA902A}"/>
            </a:ext>
          </a:extLst>
        </xdr:cNvPr>
        <xdr:cNvSpPr/>
      </xdr:nvSpPr>
      <xdr:spPr>
        <a:xfrm>
          <a:off x="11803380" y="12912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792</xdr:row>
      <xdr:rowOff>0</xdr:rowOff>
    </xdr:from>
    <xdr:to>
      <xdr:col>28</xdr:col>
      <xdr:colOff>83820</xdr:colOff>
      <xdr:row>792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83D2A72D-DAA8-41E5-A690-83E3B5756E1D}"/>
            </a:ext>
          </a:extLst>
        </xdr:cNvPr>
        <xdr:cNvSpPr/>
      </xdr:nvSpPr>
      <xdr:spPr>
        <a:xfrm>
          <a:off x="11803380" y="12912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793</xdr:row>
      <xdr:rowOff>0</xdr:rowOff>
    </xdr:from>
    <xdr:to>
      <xdr:col>28</xdr:col>
      <xdr:colOff>83820</xdr:colOff>
      <xdr:row>793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826C62EE-3424-4BFA-A0F7-DC059E40BE73}"/>
            </a:ext>
          </a:extLst>
        </xdr:cNvPr>
        <xdr:cNvSpPr/>
      </xdr:nvSpPr>
      <xdr:spPr>
        <a:xfrm>
          <a:off x="11803380" y="12930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794</xdr:row>
      <xdr:rowOff>0</xdr:rowOff>
    </xdr:from>
    <xdr:to>
      <xdr:col>28</xdr:col>
      <xdr:colOff>83820</xdr:colOff>
      <xdr:row>794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EF957C88-BF06-481C-8D84-15C34BDE1087}"/>
            </a:ext>
          </a:extLst>
        </xdr:cNvPr>
        <xdr:cNvSpPr/>
      </xdr:nvSpPr>
      <xdr:spPr>
        <a:xfrm>
          <a:off x="11803380" y="12948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798</xdr:row>
      <xdr:rowOff>0</xdr:rowOff>
    </xdr:from>
    <xdr:to>
      <xdr:col>28</xdr:col>
      <xdr:colOff>83820</xdr:colOff>
      <xdr:row>798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F29671E7-D38F-4257-8694-668C340436B8}"/>
            </a:ext>
          </a:extLst>
        </xdr:cNvPr>
        <xdr:cNvSpPr/>
      </xdr:nvSpPr>
      <xdr:spPr>
        <a:xfrm>
          <a:off x="11803380" y="13021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799</xdr:row>
      <xdr:rowOff>0</xdr:rowOff>
    </xdr:from>
    <xdr:to>
      <xdr:col>28</xdr:col>
      <xdr:colOff>83820</xdr:colOff>
      <xdr:row>799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A56E317E-1E5F-4280-9064-A3BB0AB2D372}"/>
            </a:ext>
          </a:extLst>
        </xdr:cNvPr>
        <xdr:cNvSpPr/>
      </xdr:nvSpPr>
      <xdr:spPr>
        <a:xfrm>
          <a:off x="11803380" y="13040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800</xdr:row>
      <xdr:rowOff>0</xdr:rowOff>
    </xdr:from>
    <xdr:to>
      <xdr:col>28</xdr:col>
      <xdr:colOff>83820</xdr:colOff>
      <xdr:row>800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2CB7265A-89D4-49C2-A1A3-13159FD5E649}"/>
            </a:ext>
          </a:extLst>
        </xdr:cNvPr>
        <xdr:cNvSpPr/>
      </xdr:nvSpPr>
      <xdr:spPr>
        <a:xfrm>
          <a:off x="11803380" y="1305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801</xdr:row>
      <xdr:rowOff>0</xdr:rowOff>
    </xdr:from>
    <xdr:to>
      <xdr:col>28</xdr:col>
      <xdr:colOff>83820</xdr:colOff>
      <xdr:row>801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A471BC67-E2CC-43FE-B987-2C08C1C5B909}"/>
            </a:ext>
          </a:extLst>
        </xdr:cNvPr>
        <xdr:cNvSpPr/>
      </xdr:nvSpPr>
      <xdr:spPr>
        <a:xfrm>
          <a:off x="11803380" y="13076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802</xdr:row>
      <xdr:rowOff>0</xdr:rowOff>
    </xdr:from>
    <xdr:to>
      <xdr:col>28</xdr:col>
      <xdr:colOff>83820</xdr:colOff>
      <xdr:row>802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75BB87DF-4CB8-4384-BF68-3BDB962A225E}"/>
            </a:ext>
          </a:extLst>
        </xdr:cNvPr>
        <xdr:cNvSpPr/>
      </xdr:nvSpPr>
      <xdr:spPr>
        <a:xfrm>
          <a:off x="11803380" y="13094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805</xdr:row>
      <xdr:rowOff>0</xdr:rowOff>
    </xdr:from>
    <xdr:to>
      <xdr:col>28</xdr:col>
      <xdr:colOff>83820</xdr:colOff>
      <xdr:row>805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86A884E6-92EE-46FF-AA26-2662CD8045E3}"/>
            </a:ext>
          </a:extLst>
        </xdr:cNvPr>
        <xdr:cNvSpPr/>
      </xdr:nvSpPr>
      <xdr:spPr>
        <a:xfrm>
          <a:off x="11803380" y="13149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806</xdr:row>
      <xdr:rowOff>0</xdr:rowOff>
    </xdr:from>
    <xdr:to>
      <xdr:col>28</xdr:col>
      <xdr:colOff>83820</xdr:colOff>
      <xdr:row>806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1834078F-AEC2-4C89-8F0F-DE13BB602A2F}"/>
            </a:ext>
          </a:extLst>
        </xdr:cNvPr>
        <xdr:cNvSpPr/>
      </xdr:nvSpPr>
      <xdr:spPr>
        <a:xfrm>
          <a:off x="11803380" y="1316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795</xdr:row>
      <xdr:rowOff>0</xdr:rowOff>
    </xdr:from>
    <xdr:to>
      <xdr:col>28</xdr:col>
      <xdr:colOff>83820</xdr:colOff>
      <xdr:row>795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E8078011-6047-4AEC-952E-0A3583408527}"/>
            </a:ext>
          </a:extLst>
        </xdr:cNvPr>
        <xdr:cNvSpPr/>
      </xdr:nvSpPr>
      <xdr:spPr>
        <a:xfrm rot="10800000">
          <a:off x="11803380" y="12985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803</xdr:row>
      <xdr:rowOff>0</xdr:rowOff>
    </xdr:from>
    <xdr:to>
      <xdr:col>28</xdr:col>
      <xdr:colOff>83820</xdr:colOff>
      <xdr:row>803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0A7D65D7-BCFA-4E16-AAE7-00E675EF285A}"/>
            </a:ext>
          </a:extLst>
        </xdr:cNvPr>
        <xdr:cNvSpPr/>
      </xdr:nvSpPr>
      <xdr:spPr>
        <a:xfrm rot="10800000">
          <a:off x="11803380" y="131315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796</xdr:row>
      <xdr:rowOff>0</xdr:rowOff>
    </xdr:from>
    <xdr:to>
      <xdr:col>28</xdr:col>
      <xdr:colOff>83820</xdr:colOff>
      <xdr:row>796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47183801-5DF5-4EEF-AB5C-3D91FD80BB3C}"/>
            </a:ext>
          </a:extLst>
        </xdr:cNvPr>
        <xdr:cNvSpPr/>
      </xdr:nvSpPr>
      <xdr:spPr>
        <a:xfrm rot="10800000">
          <a:off x="11803380" y="130035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804</xdr:row>
      <xdr:rowOff>0</xdr:rowOff>
    </xdr:from>
    <xdr:to>
      <xdr:col>28</xdr:col>
      <xdr:colOff>83820</xdr:colOff>
      <xdr:row>804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2EC4F305-8CF5-4E09-9B4E-5DB11B1F11DC}"/>
            </a:ext>
          </a:extLst>
        </xdr:cNvPr>
        <xdr:cNvSpPr/>
      </xdr:nvSpPr>
      <xdr:spPr>
        <a:xfrm rot="10800000">
          <a:off x="11803380" y="13149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797</xdr:row>
      <xdr:rowOff>0</xdr:rowOff>
    </xdr:from>
    <xdr:to>
      <xdr:col>28</xdr:col>
      <xdr:colOff>83820</xdr:colOff>
      <xdr:row>797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E1402653-4CA5-43F5-BF47-8CA6CE8CE1B3}"/>
            </a:ext>
          </a:extLst>
        </xdr:cNvPr>
        <xdr:cNvSpPr/>
      </xdr:nvSpPr>
      <xdr:spPr>
        <a:xfrm rot="10800000">
          <a:off x="11803380" y="13021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O1003"/>
  <sheetViews>
    <sheetView tabSelected="1" topLeftCell="A840" zoomScaleNormal="100" workbookViewId="0">
      <selection activeCell="N872" sqref="N872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3.33203125" customWidth="1"/>
    <col min="56" max="56" width="1.33203125" customWidth="1"/>
    <col min="57" max="57" width="12.21875" customWidth="1"/>
    <col min="58" max="58" width="1.109375" customWidth="1"/>
    <col min="59" max="59" width="12.218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11.664062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4.109375" customWidth="1"/>
    <col min="78" max="78" width="2.109375" customWidth="1"/>
    <col min="79" max="79" width="11.44140625" customWidth="1"/>
    <col min="80" max="80" width="1.33203125" customWidth="1"/>
    <col min="81" max="81" width="11.44140625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9" t="s">
        <v>5</v>
      </c>
      <c r="C1" s="609"/>
      <c r="D1" s="609"/>
    </row>
    <row r="2" spans="2:90" ht="15.6" x14ac:dyDescent="0.3">
      <c r="B2" s="609" t="s">
        <v>6</v>
      </c>
      <c r="C2" s="609"/>
      <c r="D2" s="609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14" t="s">
        <v>13</v>
      </c>
      <c r="C3" s="614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10" t="s">
        <v>11</v>
      </c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11"/>
      <c r="AE4" s="282"/>
      <c r="AF4" s="404"/>
      <c r="AG4" s="404"/>
      <c r="AH4" s="404"/>
      <c r="AI4" s="404"/>
      <c r="AJ4" s="12"/>
      <c r="AL4" s="626" t="s">
        <v>14</v>
      </c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27"/>
      <c r="AY4" s="627"/>
      <c r="AZ4" s="627"/>
      <c r="BA4" s="627"/>
      <c r="BB4" s="627"/>
      <c r="BC4" s="627"/>
      <c r="BD4" s="627"/>
      <c r="BE4" s="627"/>
      <c r="BF4" s="627"/>
      <c r="BG4" s="627"/>
      <c r="BH4" s="627"/>
      <c r="BI4" s="627"/>
      <c r="BJ4" s="627"/>
      <c r="BK4" s="627"/>
      <c r="BL4" s="627"/>
      <c r="BM4" s="627"/>
      <c r="BN4" s="627"/>
      <c r="BO4" s="627"/>
      <c r="BP4" s="627"/>
      <c r="BQ4" s="627"/>
      <c r="BR4" s="627"/>
      <c r="BS4" s="627"/>
      <c r="BT4" s="627"/>
      <c r="BU4" s="628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615" t="s">
        <v>12</v>
      </c>
      <c r="G6" s="615"/>
      <c r="H6" s="615"/>
      <c r="I6" s="615"/>
      <c r="J6" s="615"/>
      <c r="K6" s="615"/>
      <c r="L6" s="615"/>
      <c r="M6" s="292"/>
      <c r="N6" s="499"/>
      <c r="O6" s="292"/>
      <c r="P6" s="293"/>
      <c r="Q6" s="621" t="s">
        <v>111</v>
      </c>
      <c r="R6" s="615"/>
      <c r="S6" s="615"/>
      <c r="T6" s="615"/>
      <c r="U6" s="622"/>
      <c r="V6" s="3"/>
      <c r="W6" s="8" t="s">
        <v>7</v>
      </c>
      <c r="X6" s="30"/>
      <c r="Y6" s="616">
        <v>1.2500000000000001E-2</v>
      </c>
      <c r="Z6" s="616"/>
      <c r="AA6" s="616"/>
      <c r="AB6" s="616"/>
      <c r="AC6" s="616"/>
      <c r="AD6" s="616"/>
      <c r="AE6" s="616"/>
      <c r="AF6" s="616"/>
      <c r="AG6" s="616"/>
      <c r="AH6" s="616"/>
      <c r="AI6" s="616"/>
      <c r="AJ6" s="617"/>
      <c r="AK6" s="3"/>
      <c r="AL6" s="632" t="s">
        <v>25</v>
      </c>
      <c r="AM6" s="633"/>
      <c r="AN6" s="633"/>
      <c r="AO6" s="633"/>
      <c r="AP6" s="633"/>
      <c r="AQ6" s="633"/>
      <c r="AR6" s="633"/>
      <c r="AS6" s="633"/>
      <c r="AT6" s="633"/>
      <c r="AU6" s="633"/>
      <c r="AV6" s="633"/>
      <c r="AW6" s="633"/>
      <c r="AX6" s="633"/>
      <c r="AY6" s="634"/>
      <c r="AZ6" s="3"/>
      <c r="BA6" s="635" t="s">
        <v>7</v>
      </c>
      <c r="BB6" s="605"/>
      <c r="BC6" s="605"/>
      <c r="BD6" s="85"/>
      <c r="BE6" s="629" t="s">
        <v>24</v>
      </c>
      <c r="BF6" s="629"/>
      <c r="BG6" s="629"/>
      <c r="BH6" s="629"/>
      <c r="BI6" s="629"/>
      <c r="BJ6" s="629"/>
      <c r="BK6" s="629"/>
      <c r="BL6" s="629"/>
      <c r="BM6" s="629"/>
      <c r="BN6" s="629"/>
      <c r="BO6" s="629"/>
      <c r="BP6" s="629"/>
      <c r="BQ6" s="629"/>
      <c r="BR6" s="605"/>
      <c r="BS6" s="605"/>
      <c r="BT6" s="605"/>
      <c r="BU6" s="630"/>
      <c r="BV6" s="3"/>
    </row>
    <row r="7" spans="2:90" ht="16.2" x14ac:dyDescent="0.3">
      <c r="D7" s="612" t="s">
        <v>20</v>
      </c>
      <c r="E7" s="613"/>
      <c r="F7" s="613"/>
      <c r="G7" s="613"/>
      <c r="H7" s="613"/>
      <c r="I7" s="613"/>
      <c r="J7" s="613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8" t="s">
        <v>33</v>
      </c>
      <c r="X7" s="619"/>
      <c r="Y7" s="619"/>
      <c r="Z7" s="619"/>
      <c r="AA7" s="619"/>
      <c r="AB7" s="619"/>
      <c r="AC7" s="619"/>
      <c r="AD7" s="619"/>
      <c r="AE7" s="619"/>
      <c r="AF7" s="619"/>
      <c r="AG7" s="619"/>
      <c r="AH7" s="619"/>
      <c r="AI7" s="619"/>
      <c r="AJ7" s="620"/>
      <c r="AK7" s="3"/>
      <c r="AL7" s="612" t="s">
        <v>68</v>
      </c>
      <c r="AM7" s="613"/>
      <c r="AN7" s="613"/>
      <c r="AO7" s="613"/>
      <c r="AP7" s="613"/>
      <c r="AQ7" s="613"/>
      <c r="AR7" s="613"/>
      <c r="AS7" s="613"/>
      <c r="AT7" s="613"/>
      <c r="AU7" s="613"/>
      <c r="AV7" s="613"/>
      <c r="AW7" s="613"/>
      <c r="AX7" s="613"/>
      <c r="AY7" s="631"/>
      <c r="BA7" s="612" t="s">
        <v>23</v>
      </c>
      <c r="BB7" s="613"/>
      <c r="BC7" s="613"/>
      <c r="BD7" s="613"/>
      <c r="BE7" s="613"/>
      <c r="BF7" s="613"/>
      <c r="BG7" s="613"/>
      <c r="BH7" s="613"/>
      <c r="BI7" s="613"/>
      <c r="BJ7" s="613"/>
      <c r="BK7" s="613"/>
      <c r="BL7" s="613"/>
      <c r="BM7" s="613"/>
      <c r="BN7" s="613"/>
      <c r="BO7" s="613"/>
      <c r="BP7" s="613"/>
      <c r="BQ7" s="613"/>
      <c r="BR7" s="613"/>
      <c r="BS7" s="613"/>
      <c r="BT7" s="613"/>
      <c r="BU7" s="631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624" t="s">
        <v>1</v>
      </c>
      <c r="BB8" s="625"/>
      <c r="BC8" s="625"/>
      <c r="BD8" s="63"/>
      <c r="BE8" s="625" t="s">
        <v>22</v>
      </c>
      <c r="BF8" s="625"/>
      <c r="BG8" s="625"/>
      <c r="BH8" s="625"/>
      <c r="BI8" s="636"/>
      <c r="BJ8" s="637" t="s">
        <v>111</v>
      </c>
      <c r="BK8" s="638"/>
      <c r="BL8" s="638"/>
      <c r="BM8" s="639"/>
      <c r="BN8" s="624" t="s">
        <v>22</v>
      </c>
      <c r="BO8" s="625"/>
      <c r="BP8" s="625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SUM(D102:D857)</f>
        <v>74238603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SUM(D109:D864)</f>
        <v>74016801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SUM(D116:D871)</f>
        <v>73672841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SUM(D123:D881)</f>
        <v>73277971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SUM(D124:D882)</f>
        <v>73216252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SUM(D125:D883)</f>
        <v>73157903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SUM(D126:D884)</f>
        <v>73092415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SUM(D127:D885)</f>
        <v>73026367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SUM(D128:D886)</f>
        <v>72954372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SUM(D129:D887)</f>
        <v>149880984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SUM(D130:D888)</f>
        <v>149805997.23262841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SUM(D131:D889)</f>
        <v>149742738.23262841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SUM(D132:D890)</f>
        <v>480677459.23262841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SUM(D133:D891)</f>
        <v>524968580.23262841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SUM(D134:D892)</f>
        <v>524901101.30462843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SUM(D135:D893)</f>
        <v>524829134.30462843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SUM(D136:D894)</f>
        <v>524759691.34662843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SUM(D137:D895)</f>
        <v>525682657.34662843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SUM(D138:D896)</f>
        <v>525615244.34662843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SUM(D139:D897)</f>
        <v>525559114.34662843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SUM(D140:D898)</f>
        <v>525497543.34662843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SUM(D141:D899)</f>
        <v>525432814.34662843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SUM(D142:D900)</f>
        <v>525365893.34662843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SUM(D143:D901)</f>
        <v>525297324.34662843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SUM(D144:D902)</f>
        <v>525226241.34662843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SUM(D145:D903)</f>
        <v>525167700.34662843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SUM(D146:D904)</f>
        <v>525118662.34662843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SUM(D147:D905)</f>
        <v>525070016.34662843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SUM(D148:D906)</f>
        <v>525015452.34662843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SUM(D149:D907)</f>
        <v>524960304.34662843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SUM(D150:D908)</f>
        <v>524901594.34662843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SUM(D151:D909)</f>
        <v>524838348.34662843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SUM(D152:D910)</f>
        <v>524784149.34662843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SUM(D153:D911)</f>
        <v>524736300.34662843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SUM(D154:D912)</f>
        <v>524686500.34662843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SUM(D155:D913)</f>
        <v>524631981.34662843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SUM(D156:D914)</f>
        <v>524577636.34662843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SUM(D157:D915)</f>
        <v>524522272.34662843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SUM(D158:D916)</f>
        <v>524461672.34662843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SUM(D159:D917)</f>
        <v>524408149.34662843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SUM(D160:D918)</f>
        <v>524371306.34662843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SUM(D161:D919)</f>
        <v>524330694.34662843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SUM(D162:D920)</f>
        <v>524286695.34662843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SUM(D163:D921)</f>
        <v>524241722.34662843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SUM(D164:D922)</f>
        <v>524196365.34662843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SUM(D165:D923)</f>
        <v>524145884.34662843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SUM(D166:D924)</f>
        <v>524102055.34662843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SUM(D167:D925)</f>
        <v>524069337.34662843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SUM(D168:D926)</f>
        <v>524027853.34662843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SUM(D169:D927)</f>
        <v>523987755.34662843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SUM(D170:D928)</f>
        <v>523943118.34662843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SUM(D171:D929)</f>
        <v>523897112.34662843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SUM(D172:D930)</f>
        <v>523847511.34662843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SUM(D173:D931)</f>
        <v>523804851.34662843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SUM(D174:D932)</f>
        <v>523770870.34662843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SUM(D175:D933)</f>
        <v>523732310.34662843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SUM(D176:D934)</f>
        <v>523690331.34662843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SUM(D177:D935)</f>
        <v>523649120.34662843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SUM(D178:D936)</f>
        <v>523603656.34662843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SUM(D179:D937)</f>
        <v>523550807.34662843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SUM(D180:D938)</f>
        <v>523508715.34662843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SUM(D181:D939)</f>
        <v>523477605.34662843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SUM(D182:D943)</f>
        <v>523452185.34662843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SUM(D183:D944)</f>
        <v>523423746.34662843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SUM(D184:D945)</f>
        <v>523388503.34662843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SUM(D185:D946)</f>
        <v>557063978.06091416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SUM(D186:D947)</f>
        <v>607874520.91805696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SUM(D187:D948)</f>
        <v>676406667.4894855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SUM(D188:D950)</f>
        <v>676374810.4894855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SUM(D189:D951)</f>
        <v>853922014.06091404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SUM(D190:D955)</f>
        <v>853885567.06091404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SUM(D191:D956)</f>
        <v>853845413.06091404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SUM(D192:D957)</f>
        <v>853799118.06091404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SUM(D193:D958)</f>
        <v>853747773.06091404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SUM(D194:D959)</f>
        <v>853704160.06091404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SUM(D195:D960)</f>
        <v>853670774.06091404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SUM(D196:D966)</f>
        <v>853633970.06091404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SUM(D197:D967)</f>
        <v>853598274.06091404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SUM(D198:D968)</f>
        <v>853556658.06091404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SUM(D199:D969)</f>
        <v>853511303.06091404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SUM(D200:D971)</f>
        <v>853457674.06091404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SUM(D201:D973)</f>
        <v>853414468.06091404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SUM(D202:D974)</f>
        <v>853380686.06091404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SUM(D203:D975)</f>
        <v>853343268.06091404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SUM(D204:D976)</f>
        <v>853299041.06091404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SUM(D205:D977)</f>
        <v>853258112.06091404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SUM(D206:D978)</f>
        <v>853210723.06091404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SUM(D207:D979)</f>
        <v>853159320.06091404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SUM(D208:D980)</f>
        <v>853110395.06091404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SUM(D209:D981)</f>
        <v>853076329.06091404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SUM(D210:D982)</f>
        <v>853038612.06091404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SUM(D211:D983)</f>
        <v>852993944.06091404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SUM(D212:D984)</f>
        <v>852944586.06091404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SUM(D213:D985)</f>
        <v>852887268.06091404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SUM(D214:D986)</f>
        <v>852826285.06091404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SUM(D215:D987)</f>
        <v>852772050.06091404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SUM(D216:D988)</f>
        <v>852730115.06091404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SUM(D217:D989)</f>
        <v>852684324.06091404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SUM(D218:D990)</f>
        <v>852632790.06091404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SUM(D219:D991)</f>
        <v>852573097.06091404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SUM(D220:D992)</f>
        <v>852506968.06091404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SUM(D221:D993)</f>
        <v>852435281.06091404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SUM(D222:D994)</f>
        <v>852381049.06091404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SUM(D223:D995)</f>
        <v>852336108.06091404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SUM(D224:D996)</f>
        <v>852278781.06091404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SUM(D225:D997)</f>
        <v>852216709.06091404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SUM(D226:D998)</f>
        <v>852153046.06091404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SUM(D227:D999)</f>
        <v>852078745.06091404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SUM(D228:D1000)</f>
        <v>851997331.06091404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SUM(D229:D1001)</f>
        <v>851917882.06091404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SUM(D230:D1002)</f>
        <v>851856993.06091404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SUM(D231:D1003)</f>
        <v>851787152.06091404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SUM(D232:D1004)</f>
        <v>851712080.06091404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SUM(D233:D1005)</f>
        <v>851630499.06091404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SUM(D234:D1006)</f>
        <v>851538969.06091404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SUM(D235:D1007)</f>
        <v>851437508.06091404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SUM(D236:D1008)</f>
        <v>851351215.06091404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SUM(D237:D1009)</f>
        <v>851279894.06091404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SUM(D238:D1010)</f>
        <v>851190989.06091404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SUM(D239:D1011)</f>
        <v>851096522.06091404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SUM(D240:D1012)</f>
        <v>850988133.06091404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SUM(D241:D1013)</f>
        <v>850869814.06091404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SUM(D242:D1014)</f>
        <v>850737273.06091404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SUM(D243:D1015)</f>
        <v>850612883.06091404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SUM(D244:D1016)</f>
        <v>850510157.06091404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SUM(D245:D1017)</f>
        <v>850384468.06091404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SUM(D246:D1018)</f>
        <v>850248815.06091404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SUM(D247:D1019)</f>
        <v>850105909.06091404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SUM(D248:D1020)</f>
        <v>849944368.06091404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SUM(D249:D1021)</f>
        <v>849760841.06091404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SUM(D250:D1022)</f>
        <v>849603588.06091404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SUM(D251:D1023)</f>
        <v>849465339.06091404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SUM(D252:D1024)</f>
        <v>849303190.06091404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SUM(D253:D1025)</f>
        <v>849145929.06091404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SUM(D254:D1026)</f>
        <v>848972161.06091404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SUM(D255:D1027)</f>
        <v>848779975.06091404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SUM(D256:D1028)</f>
        <v>848575796.06091404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SUM(D257:D1029)</f>
        <v>848402957.06091404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SUM(D258:D1030)</f>
        <v>848266330.06091404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SUM(D259:D1031)</f>
        <v>848094030.06091404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SUM(D260:D1032)</f>
        <v>847916948.06091404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SUM(D261:D1033)</f>
        <v>847736045.06091404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SUM(D262:D1034)</f>
        <v>847627982.06091404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SUM(D263:D1035)</f>
        <v>847463970.06091404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SUM(D264:D1036)</f>
        <v>847320597.06091404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SUM(D265:D1037)</f>
        <v>847182409.06091404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SUM(D266:D1038)</f>
        <v>847020841.06091404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SUM(D267:D1039)</f>
        <v>846838565.06091404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SUM(D268:D1040)</f>
        <v>846634828.06091404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SUM(D269:D1041)</f>
        <v>846416252.06091404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SUM(D270:D1042)</f>
        <v>846180980.06091404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SUM(D271:D1043)</f>
        <v>845968497.06091404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SUM(D272:D1044)</f>
        <v>845785718.06091404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SUM(D273:D1045)</f>
        <v>845585633.06091404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SUM(D274:D1046)</f>
        <v>845375877.06091404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SUM(D275:D1047)</f>
        <v>845148924.06091404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SUM(D276:D1048)</f>
        <v>844921610.06091404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SUM(D277:D1049)</f>
        <v>844674849.06091404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SUM(D278:D1050)</f>
        <v>844454551.06091404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SUM(D279:D1051)</f>
        <v>844266650.06091404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SUM(D280:D1052)</f>
        <v>844066918.06091404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SUM(D281:D1053)</f>
        <v>843866883.06091404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SUM(D282:D1054)</f>
        <v>843616710.06091404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SUM(D283:D1055)</f>
        <v>843378838.06091404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SUM(D284:D1056)</f>
        <v>843124158.06091404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SUM(D285:D1057)</f>
        <v>842934508.06091404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SUM(D286:D1058)</f>
        <v>842746228.06091404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SUM(D287:D1059)</f>
        <v>842546119.06091404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SUM(D288:D1060)</f>
        <v>842347039.06091404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SUM(D289:D1061)</f>
        <v>842114697.06091404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SUM(D290:D1062)</f>
        <v>841921667.06091404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SUM(D291:D1063)</f>
        <v>841822827.06091404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SUM(D292:D1064)</f>
        <v>841662223.06091404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SUM(D293:D1065)</f>
        <v>841534483.06091404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SUM(D294:D1066)</f>
        <v>841348092.06091404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SUM(D295:D1067)</f>
        <v>841148470.06091404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SUM(D296:D1068)</f>
        <v>840913695.06091404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SUM(D297:D1069)</f>
        <v>840685282.06091404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SUM(D298:D1070)</f>
        <v>840519238.06091404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SUM(D299:D1071)</f>
        <v>840287011.06091404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SUM(D300:D1072)</f>
        <v>840092674.06091404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SUM(D301:D1073)</f>
        <v>839902512.06091404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SUM(D302:D1074)</f>
        <v>839667801.06091404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SUM(D303:D1075)</f>
        <v>839406828.06091404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SUM(D304:D1076)</f>
        <v>839132638.06091404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SUM(D305:D1077)</f>
        <v>838826189.06091404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SUM(D306:D1078)</f>
        <v>838576495.06091404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SUM(D307:D1079)</f>
        <v>838355668.06091404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SUM(D308:D1080)</f>
        <v>838140985.06091404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SUM(D309:D1081)</f>
        <v>837917357.06091404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SUM(D310:D1082)</f>
        <v>837679284.06091404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SUM(D311:D1083)</f>
        <v>837444865.06091404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SUM(D312:D1084)</f>
        <v>837196059.06091404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SUM(D313:D1085)</f>
        <v>836993292.06091404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SUM(D314:D1086)</f>
        <v>836818732.06091404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SUM(D315:D1087)</f>
        <v>836669404.06091404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SUM(D316:D1088)</f>
        <v>836495026.06091404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SUM(D317:D1089)</f>
        <v>836304945.06091404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SUM(D318:D1090)</f>
        <v>836111187.06091404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SUM(D319:D1091)</f>
        <v>835919122.06091404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SUM(D320:D1092)</f>
        <v>835746055.06091404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SUM(D321:D1093)</f>
        <v>835610873.06091404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SUM(D322:D1094)</f>
        <v>835458629.06091404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SUM(D323:D1095)</f>
        <v>835306902.06091404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SUM(D324:D1096)</f>
        <v>835146871.06091404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SUM(D325:D1097)</f>
        <v>834984238.06091404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SUM(D326:D1098)</f>
        <v>834815205.06091404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SUM(D327:D1099)</f>
        <v>834674473.06091404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SUM(D328:D1100)</f>
        <v>834566657.06091404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SUM(D329:D1101)</f>
        <v>834440205.06091404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SUM(D330:D1102)</f>
        <v>834323978.06091404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SUM(D331:D1103)</f>
        <v>834210519.06091404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SUM(D332:D1104)</f>
        <v>834088782.06091404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SUM(D333:D1105)</f>
        <v>833962657.06091404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SUM(D334:D1106)</f>
        <v>833856674.06091404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SUM(D335:D1107)</f>
        <v>833765418.06091404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SUM(D336:D1108)</f>
        <v>833675072.06091404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SUM(D337:D1109)</f>
        <v>833579530.06091404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SUM(D338:D1110)</f>
        <v>833482724.06091404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SUM(D339:D1111)</f>
        <v>833378480.06091404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SUM(D340:D1112)</f>
        <v>833278192.06091404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SUM(D341:D1113)</f>
        <v>833191708.06091404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SUM(D342:D1114)</f>
        <v>833127411.06091404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SUM(D343:D1115)</f>
        <v>833074626.06091404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SUM(D344:D1116)</f>
        <v>833011228.06091404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SUM(D345:D1117)</f>
        <v>832939588.06091404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SUM(D346:D1118)</f>
        <v>832870664.06091404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SUM(D347:D1119)</f>
        <v>832785125.06091404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SUM(D348:D1120)</f>
        <v>832715508.06091404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SUM(D349:D1121)</f>
        <v>832658283.06091404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SUM(D350:D1122)</f>
        <v>832587229.06091404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SUM(D351:D1123)</f>
        <v>832513525.06091404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SUM(D352:D1124)</f>
        <v>832438226.06091404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SUM(D353:D1125)</f>
        <v>832360849.06091404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SUM(D354:D1126)</f>
        <v>832280224.06091404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SUM(D355:D1127)</f>
        <v>832215904.06091404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SUM(D356:D1128)</f>
        <v>832166492.06091404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SUM(D357:D1129)</f>
        <v>832111311.06091404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SUM(D358:D1130)</f>
        <v>832054421.06091404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SUM(D359:D1131)</f>
        <v>831987196.06091404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SUM(D360:D1132)</f>
        <v>831918875.06091404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SUM(D361:D1133)</f>
        <v>831849635.06091404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SUM(D362:D1134)</f>
        <v>831791407.06091404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SUM(D363:D1135)</f>
        <v>831749440.06091404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SUM(D364:D1136)</f>
        <v>831704072.06091404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SUM(D365:D1137)</f>
        <v>831648389.06091404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649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SUM(D366:D1138)</f>
        <v>831587029.06091404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SUM(D367:D1139)</f>
        <v>831524256.06091404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SUM(D368:D1140)</f>
        <v>831457471.06091404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SUM(D369:D1141)</f>
        <v>831407753.06091404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SUM(D370:D1142)</f>
        <v>831370857.06091404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SUM(D371:D1143)</f>
        <v>831324090.06091404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SUM(D372:D1144)</f>
        <v>831270859.06091404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SUM(D373:D1145)</f>
        <v>831207364.06091404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SUM(D374:D1146)</f>
        <v>831144735.06091404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SUM(D375:D1147)</f>
        <v>831078322.06091404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SUM(D376:D1148)</f>
        <v>831022414.06091404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SUM(D377:D1149)</f>
        <v>830982909.06091404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SUM(D378:D1150)</f>
        <v>830937161.06091404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SUM(D379:D1151)</f>
        <v>830878456.06091404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SUM(D380:D1152)</f>
        <v>830811918.06091404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SUM(D381:D1153)</f>
        <v>830744872.06091404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SUM(D382:D1154)</f>
        <v>830667896.06091404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SUM(D383:D1155)</f>
        <v>830604237.06091404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SUM(D384:D1156)</f>
        <v>830560141.06091404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SUM(D385:D1157)</f>
        <v>830499943.06091404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SUM(D386:D1158)</f>
        <v>830437484.06091404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SUM(D387:D1159)</f>
        <v>830368728.06091404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SUM(D388:D1160)</f>
        <v>830324477.06091404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SUM(D389:D1161)</f>
        <v>830254453.06091404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SUM(D390:D1162)</f>
        <v>830188299.06091404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SUM(D391:D1163)</f>
        <v>830151316.06091404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SUM(D392:D1164)</f>
        <v>830093672.06091404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SUM(D393:D1165)</f>
        <v>830031389.06091404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SUM(D394:D1166)</f>
        <v>829956206.06091404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SUM(D395:D1167)</f>
        <v>829876045.06091404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SUM(D396:D1168)</f>
        <v>829790677.06091404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SUM(D397:D1169)</f>
        <v>829723897.06091404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SUM(D398:D1170)</f>
        <v>829676023.06091404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SUM(D399:D1171)</f>
        <v>829619501.06091404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SUM(D400:D1172)</f>
        <v>829541781.06091404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SUM(D401:D1173)</f>
        <v>829463342.06091404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SUM(D402:D1174)</f>
        <v>829388863.06091404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SUM(D403:D1175)</f>
        <v>829307090.06091404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SUM(D404:D1176)</f>
        <v>829243509.06091404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SUM(D405:D1177)</f>
        <v>829200328.06091404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SUM(D406:D1178)</f>
        <v>829148678.06091404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SUM(D407:D1179)</f>
        <v>829088361.06091404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SUM(D408:D1180)</f>
        <v>829023304.06091404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SUM(D409:D1181)</f>
        <v>828956234.06091404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SUM(D410:D1182)</f>
        <v>828889719.06091404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:H471" si="374">+H439+D440</f>
        <v>33534078</v>
      </c>
      <c r="I440" s="16"/>
      <c r="J440" s="436">
        <f t="shared" ref="J440:J471" si="375">+D440/H439</f>
        <v>6.0769156218803814E-4</v>
      </c>
      <c r="K440" s="16"/>
      <c r="L440" s="16"/>
      <c r="M440" s="16"/>
      <c r="N440" s="16">
        <f t="shared" ref="N440:N471" si="376">SUM(D434:D440)</f>
        <v>168821</v>
      </c>
      <c r="O440" s="16">
        <f t="shared" ref="O440:O471" si="377">+H440/BW440</f>
        <v>77805.285382830625</v>
      </c>
      <c r="P440" s="41"/>
      <c r="Q440" s="17">
        <f t="shared" ref="Q440:Q471" si="378">SUM(D434:D440)</f>
        <v>168821</v>
      </c>
      <c r="R440" s="16"/>
      <c r="S440" s="60">
        <f t="shared" ref="S440:S471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:Z471" si="380">SUM(W435:W440)</f>
        <v>3013</v>
      </c>
      <c r="AA440" s="33">
        <f t="shared" ref="AA440:AA471" si="381">+AA439+W440</f>
        <v>592562</v>
      </c>
      <c r="AB440" s="33"/>
      <c r="AC440" s="46">
        <f t="shared" ref="AC440:AC471" si="382">+AA440/H440</f>
        <v>1.767044258679186E-2</v>
      </c>
      <c r="AD440" s="33"/>
      <c r="AE440" s="33">
        <f t="shared" ref="AE440:AE471" si="383">+AA440/BW440</f>
        <v>1374.8538283062644</v>
      </c>
      <c r="AF440" s="50"/>
      <c r="AG440" s="33">
        <f t="shared" ref="AG440:AG471" si="384">SUM(W434:W440)</f>
        <v>3746</v>
      </c>
      <c r="AH440" s="33">
        <f>SUM(D411:D1183)</f>
        <v>828836439.06091404</v>
      </c>
      <c r="AI440" s="213">
        <f t="shared" ref="AI440:AI471" si="385">+(AG440-AG433)/AG433</f>
        <v>-0.11567516525023608</v>
      </c>
      <c r="AJ440" s="50"/>
      <c r="AK440" s="111"/>
      <c r="AL440" s="23">
        <f t="shared" ref="AL440:AL471" si="386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:AR471" si="387">+AL440/AP439</f>
        <v>2.2425433841697707E-3</v>
      </c>
      <c r="AS440" s="25"/>
      <c r="AT440" s="25"/>
      <c r="AU440" s="24"/>
      <c r="AV440" s="298">
        <f t="shared" ref="AV440:AV471" si="388">+AP440/H440</f>
        <v>0.82196773085575814</v>
      </c>
      <c r="AW440" s="298"/>
      <c r="AX440" s="24">
        <f t="shared" ref="AX440:AX471" si="389">+AP440/BW440</f>
        <v>63953.433874709975</v>
      </c>
      <c r="AY440" s="308"/>
      <c r="AZ440" s="111"/>
      <c r="BA440" s="65">
        <f t="shared" ref="BA440:BA471" si="390">+BC440-BC439</f>
        <v>1063757</v>
      </c>
      <c r="BB440" s="66"/>
      <c r="BC440" s="66">
        <v>474368613</v>
      </c>
      <c r="BD440" s="66"/>
      <c r="BE440" s="66">
        <f t="shared" ref="BE440:BE471" si="391">+D440</f>
        <v>20366</v>
      </c>
      <c r="BF440" s="66"/>
      <c r="BG440" s="144">
        <f t="shared" ref="BG440:BG471" si="392">+BE440/BA440</f>
        <v>1.9145349924841858E-2</v>
      </c>
      <c r="BH440" s="66"/>
      <c r="BI440" s="170"/>
      <c r="BJ440" s="66"/>
      <c r="BK440" s="66">
        <f t="shared" ref="BK440:BK471" si="393">SUM(BA434:BA440)</f>
        <v>7145817</v>
      </c>
      <c r="BL440" s="66"/>
      <c r="BM440" s="144">
        <f t="shared" ref="BM440:BM471" si="394">+Q440/BK440</f>
        <v>2.3625150210255873E-2</v>
      </c>
      <c r="BN440" s="65">
        <f t="shared" ref="BN440:BN471" si="395">+BC440/BW440</f>
        <v>1100623.2320185616</v>
      </c>
      <c r="BO440" s="66"/>
      <c r="BP440" s="66">
        <f t="shared" ref="BP440:BP471" si="396">+BP439+BE440</f>
        <v>32627100</v>
      </c>
      <c r="BQ440" s="66"/>
      <c r="BR440" s="435">
        <f t="shared" ref="BR440:BR471" si="397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si="374"/>
        <v>33556816</v>
      </c>
      <c r="I441" s="16"/>
      <c r="J441" s="436">
        <f t="shared" si="375"/>
        <v>6.780565131386645E-4</v>
      </c>
      <c r="K441" s="16"/>
      <c r="L441" s="16"/>
      <c r="M441" s="16"/>
      <c r="N441" s="16">
        <f t="shared" si="376"/>
        <v>164053</v>
      </c>
      <c r="O441" s="16">
        <f t="shared" si="377"/>
        <v>77677.814814814818</v>
      </c>
      <c r="P441" s="41"/>
      <c r="Q441" s="17">
        <f t="shared" si="378"/>
        <v>164053</v>
      </c>
      <c r="R441" s="16"/>
      <c r="S441" s="60">
        <f t="shared" si="379"/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si="380"/>
        <v>3046</v>
      </c>
      <c r="AA441" s="33">
        <f t="shared" si="381"/>
        <v>593231</v>
      </c>
      <c r="AB441" s="33"/>
      <c r="AC441" s="46">
        <f t="shared" si="382"/>
        <v>1.7678405484000629E-2</v>
      </c>
      <c r="AD441" s="33"/>
      <c r="AE441" s="33">
        <f t="shared" si="383"/>
        <v>1373.2199074074074</v>
      </c>
      <c r="AF441" s="50"/>
      <c r="AG441" s="33">
        <f t="shared" si="384"/>
        <v>3682</v>
      </c>
      <c r="AH441" s="33">
        <f>SUM(D412:D1184)</f>
        <v>828801703.06091404</v>
      </c>
      <c r="AI441" s="213">
        <f t="shared" si="385"/>
        <v>-0.12872692853762424</v>
      </c>
      <c r="AJ441" s="50"/>
      <c r="AK441" s="111"/>
      <c r="AL441" s="23">
        <f t="shared" si="386"/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si="387"/>
        <v>1.5423054695030789E-3</v>
      </c>
      <c r="AS441" s="25"/>
      <c r="AT441" s="25"/>
      <c r="AU441" s="24"/>
      <c r="AV441" s="298">
        <f t="shared" si="388"/>
        <v>0.82267763425469209</v>
      </c>
      <c r="AW441" s="298"/>
      <c r="AX441" s="24">
        <f t="shared" si="389"/>
        <v>63903.800925925927</v>
      </c>
      <c r="AY441" s="308"/>
      <c r="AZ441" s="111"/>
      <c r="BA441" s="65">
        <f t="shared" si="390"/>
        <v>858209</v>
      </c>
      <c r="BB441" s="66"/>
      <c r="BC441" s="66">
        <v>475226822</v>
      </c>
      <c r="BD441" s="66"/>
      <c r="BE441" s="66">
        <f t="shared" si="391"/>
        <v>22738</v>
      </c>
      <c r="BF441" s="66"/>
      <c r="BG441" s="144">
        <f t="shared" si="392"/>
        <v>2.6494711661145479E-2</v>
      </c>
      <c r="BH441" s="66"/>
      <c r="BI441" s="170"/>
      <c r="BJ441" s="66"/>
      <c r="BK441" s="66">
        <f t="shared" si="393"/>
        <v>7158720</v>
      </c>
      <c r="BL441" s="66"/>
      <c r="BM441" s="144">
        <f t="shared" si="394"/>
        <v>2.2916526976889725E-2</v>
      </c>
      <c r="BN441" s="65">
        <f t="shared" si="395"/>
        <v>1100062.0879629629</v>
      </c>
      <c r="BO441" s="66"/>
      <c r="BP441" s="66">
        <f t="shared" si="396"/>
        <v>32649838</v>
      </c>
      <c r="BQ441" s="66"/>
      <c r="BR441" s="435">
        <f t="shared" si="397"/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518" si="398">1+B441</f>
        <v>44342</v>
      </c>
      <c r="C442" s="61"/>
      <c r="D442" s="17">
        <v>23500</v>
      </c>
      <c r="E442" s="16"/>
      <c r="F442" s="16"/>
      <c r="G442" s="16"/>
      <c r="H442" s="16">
        <f t="shared" si="374"/>
        <v>33580316</v>
      </c>
      <c r="I442" s="16"/>
      <c r="J442" s="436">
        <f t="shared" si="375"/>
        <v>7.0030482033813933E-4</v>
      </c>
      <c r="K442" s="16"/>
      <c r="L442" s="16"/>
      <c r="M442" s="16"/>
      <c r="N442" s="16">
        <f t="shared" si="376"/>
        <v>159012</v>
      </c>
      <c r="O442" s="16">
        <f t="shared" si="377"/>
        <v>77552.692840646647</v>
      </c>
      <c r="P442" s="41"/>
      <c r="Q442" s="17">
        <f t="shared" si="378"/>
        <v>159012</v>
      </c>
      <c r="R442" s="16"/>
      <c r="S442" s="60">
        <f t="shared" si="379"/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si="380"/>
        <v>2994</v>
      </c>
      <c r="AA442" s="33">
        <f t="shared" si="381"/>
        <v>593838</v>
      </c>
      <c r="AB442" s="33"/>
      <c r="AC442" s="46">
        <f t="shared" si="382"/>
        <v>1.7684109941073813E-2</v>
      </c>
      <c r="AD442" s="33"/>
      <c r="AE442" s="33">
        <f t="shared" si="383"/>
        <v>1371.4503464203233</v>
      </c>
      <c r="AF442" s="50"/>
      <c r="AG442" s="33">
        <f t="shared" si="384"/>
        <v>3653</v>
      </c>
      <c r="AH442" s="33">
        <f>SUM(D413:D1185)</f>
        <v>828754247.06091404</v>
      </c>
      <c r="AI442" s="213">
        <f t="shared" si="385"/>
        <v>-9.1519522506839091E-2</v>
      </c>
      <c r="AJ442" s="50"/>
      <c r="AK442" s="111"/>
      <c r="AL442" s="23">
        <f t="shared" si="386"/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si="387"/>
        <v>2.0222091640784423E-3</v>
      </c>
      <c r="AS442" s="25"/>
      <c r="AT442" s="25"/>
      <c r="AU442" s="24"/>
      <c r="AV442" s="298">
        <f t="shared" si="388"/>
        <v>0.82376437434358862</v>
      </c>
      <c r="AW442" s="298"/>
      <c r="AX442" s="24">
        <f t="shared" si="389"/>
        <v>63885.145496535799</v>
      </c>
      <c r="AY442" s="308"/>
      <c r="AZ442" s="111"/>
      <c r="BA442" s="65">
        <f t="shared" si="390"/>
        <v>913421</v>
      </c>
      <c r="BB442" s="66"/>
      <c r="BC442" s="66">
        <v>476140243</v>
      </c>
      <c r="BD442" s="66"/>
      <c r="BE442" s="66">
        <f t="shared" si="391"/>
        <v>23500</v>
      </c>
      <c r="BF442" s="66"/>
      <c r="BG442" s="144">
        <f t="shared" si="392"/>
        <v>2.5727457546958085E-2</v>
      </c>
      <c r="BH442" s="66"/>
      <c r="BI442" s="170"/>
      <c r="BJ442" s="66"/>
      <c r="BK442" s="66">
        <f t="shared" si="393"/>
        <v>7194641</v>
      </c>
      <c r="BL442" s="66"/>
      <c r="BM442" s="144">
        <f t="shared" si="394"/>
        <v>2.2101450232193655E-2</v>
      </c>
      <c r="BN442" s="65">
        <f t="shared" si="395"/>
        <v>1099631.0461893764</v>
      </c>
      <c r="BO442" s="66"/>
      <c r="BP442" s="66">
        <f t="shared" si="396"/>
        <v>32673338</v>
      </c>
      <c r="BQ442" s="66"/>
      <c r="BR442" s="435">
        <f t="shared" si="397"/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398"/>
        <v>44343</v>
      </c>
      <c r="C443" s="61"/>
      <c r="D443" s="17">
        <v>24393</v>
      </c>
      <c r="E443" s="16"/>
      <c r="F443" s="16"/>
      <c r="G443" s="16"/>
      <c r="H443" s="16">
        <f t="shared" si="374"/>
        <v>33604709</v>
      </c>
      <c r="I443" s="16"/>
      <c r="J443" s="436">
        <f t="shared" si="375"/>
        <v>7.2640769669945929E-4</v>
      </c>
      <c r="K443" s="16"/>
      <c r="L443" s="16"/>
      <c r="M443" s="16"/>
      <c r="N443" s="16">
        <f t="shared" si="376"/>
        <v>153191</v>
      </c>
      <c r="O443" s="16">
        <f t="shared" si="377"/>
        <v>77430.205069124422</v>
      </c>
      <c r="P443" s="41"/>
      <c r="Q443" s="17">
        <f t="shared" si="378"/>
        <v>153191</v>
      </c>
      <c r="R443" s="16"/>
      <c r="S443" s="60">
        <f t="shared" si="379"/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si="380"/>
        <v>2967</v>
      </c>
      <c r="AA443" s="33">
        <f t="shared" si="381"/>
        <v>594468</v>
      </c>
      <c r="AB443" s="33"/>
      <c r="AC443" s="46">
        <f t="shared" si="382"/>
        <v>1.7690020764649383E-2</v>
      </c>
      <c r="AD443" s="33"/>
      <c r="AE443" s="33">
        <f t="shared" si="383"/>
        <v>1369.741935483871</v>
      </c>
      <c r="AF443" s="50"/>
      <c r="AG443" s="33">
        <f t="shared" si="384"/>
        <v>3624</v>
      </c>
      <c r="AH443" s="33">
        <f>SUM(D414:D1186)</f>
        <v>828702201.06091404</v>
      </c>
      <c r="AI443" s="213">
        <f t="shared" si="385"/>
        <v>-7.5038284839203676E-2</v>
      </c>
      <c r="AJ443" s="50"/>
      <c r="AK443" s="111"/>
      <c r="AL443" s="23">
        <f t="shared" si="386"/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si="387"/>
        <v>1.4319505544520066E-3</v>
      </c>
      <c r="AS443" s="25"/>
      <c r="AT443" s="25"/>
      <c r="AU443" s="24"/>
      <c r="AV443" s="298">
        <f t="shared" si="388"/>
        <v>0.82434515353190529</v>
      </c>
      <c r="AW443" s="298"/>
      <c r="AX443" s="24">
        <f t="shared" si="389"/>
        <v>63829.214285714283</v>
      </c>
      <c r="AY443" s="308"/>
      <c r="AZ443" s="111"/>
      <c r="BA443" s="65">
        <f t="shared" si="390"/>
        <v>1008406</v>
      </c>
      <c r="BB443" s="66"/>
      <c r="BC443" s="66">
        <v>477148649</v>
      </c>
      <c r="BD443" s="66"/>
      <c r="BE443" s="66">
        <f t="shared" si="391"/>
        <v>24393</v>
      </c>
      <c r="BF443" s="66"/>
      <c r="BG443" s="144">
        <f t="shared" si="392"/>
        <v>2.4189661703718543E-2</v>
      </c>
      <c r="BH443" s="66"/>
      <c r="BI443" s="170"/>
      <c r="BJ443" s="66"/>
      <c r="BK443" s="66">
        <f t="shared" si="393"/>
        <v>7030345</v>
      </c>
      <c r="BL443" s="66"/>
      <c r="BM443" s="144">
        <f t="shared" si="394"/>
        <v>2.1789969055572664E-2</v>
      </c>
      <c r="BN443" s="65">
        <f t="shared" si="395"/>
        <v>1099420.8502304147</v>
      </c>
      <c r="BO443" s="66"/>
      <c r="BP443" s="66">
        <f t="shared" si="396"/>
        <v>32697731</v>
      </c>
      <c r="BQ443" s="66"/>
      <c r="BR443" s="435">
        <f t="shared" si="397"/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398"/>
        <v>44344</v>
      </c>
      <c r="C444" s="61"/>
      <c r="D444" s="17">
        <v>22813</v>
      </c>
      <c r="E444" s="16"/>
      <c r="F444" s="16"/>
      <c r="G444" s="16"/>
      <c r="H444" s="16">
        <f t="shared" si="374"/>
        <v>33627522</v>
      </c>
      <c r="I444" s="16"/>
      <c r="J444" s="436">
        <f t="shared" si="375"/>
        <v>6.7886319146521991E-4</v>
      </c>
      <c r="K444" s="16"/>
      <c r="L444" s="16"/>
      <c r="M444" s="16"/>
      <c r="N444" s="16">
        <f t="shared" si="376"/>
        <v>146990</v>
      </c>
      <c r="O444" s="16">
        <f t="shared" si="377"/>
        <v>77304.64827586207</v>
      </c>
      <c r="P444" s="41"/>
      <c r="Q444" s="17">
        <f t="shared" si="378"/>
        <v>146990</v>
      </c>
      <c r="R444" s="16"/>
      <c r="S444" s="60">
        <f t="shared" si="379"/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si="380"/>
        <v>3126</v>
      </c>
      <c r="AA444" s="33">
        <f t="shared" si="381"/>
        <v>595095</v>
      </c>
      <c r="AB444" s="33"/>
      <c r="AC444" s="46">
        <f t="shared" si="382"/>
        <v>1.7696665249375198E-2</v>
      </c>
      <c r="AD444" s="33"/>
      <c r="AE444" s="33">
        <f t="shared" si="383"/>
        <v>1368.0344827586207</v>
      </c>
      <c r="AF444" s="50"/>
      <c r="AG444" s="33">
        <f t="shared" si="384"/>
        <v>3594</v>
      </c>
      <c r="AH444" s="33">
        <f>SUM(D415:D1187)</f>
        <v>828645597.06091404</v>
      </c>
      <c r="AI444" s="213">
        <f t="shared" si="385"/>
        <v>-6.4549713690786048E-2</v>
      </c>
      <c r="AJ444" s="50"/>
      <c r="AK444" s="111"/>
      <c r="AL444" s="23">
        <f t="shared" si="386"/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si="387"/>
        <v>2.3522231109304897E-3</v>
      </c>
      <c r="AS444" s="25"/>
      <c r="AT444" s="25"/>
      <c r="AU444" s="24"/>
      <c r="AV444" s="298">
        <f t="shared" si="388"/>
        <v>0.82572364386528396</v>
      </c>
      <c r="AW444" s="298"/>
      <c r="AX444" s="24">
        <f t="shared" si="389"/>
        <v>63832.275862068964</v>
      </c>
      <c r="AY444" s="308"/>
      <c r="AZ444" s="111"/>
      <c r="BA444" s="65">
        <f t="shared" si="390"/>
        <v>992768</v>
      </c>
      <c r="BB444" s="66"/>
      <c r="BC444" s="66">
        <v>478141417</v>
      </c>
      <c r="BD444" s="66"/>
      <c r="BE444" s="66">
        <f t="shared" si="391"/>
        <v>22813</v>
      </c>
      <c r="BF444" s="66"/>
      <c r="BG444" s="144">
        <f t="shared" si="392"/>
        <v>2.297918546931408E-2</v>
      </c>
      <c r="BH444" s="66"/>
      <c r="BI444" s="170"/>
      <c r="BJ444" s="66"/>
      <c r="BK444" s="66">
        <f t="shared" si="393"/>
        <v>6597505</v>
      </c>
      <c r="BL444" s="66"/>
      <c r="BM444" s="144">
        <f t="shared" si="394"/>
        <v>2.2279634498192879E-2</v>
      </c>
      <c r="BN444" s="65">
        <f t="shared" si="395"/>
        <v>1099175.6712643679</v>
      </c>
      <c r="BO444" s="66"/>
      <c r="BP444" s="66">
        <f t="shared" si="396"/>
        <v>32720544</v>
      </c>
      <c r="BQ444" s="66"/>
      <c r="BR444" s="435">
        <f t="shared" si="397"/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398"/>
        <v>44345</v>
      </c>
      <c r="C445" s="61"/>
      <c r="D445" s="17">
        <v>12661</v>
      </c>
      <c r="E445" s="16"/>
      <c r="F445" s="16"/>
      <c r="G445" s="16"/>
      <c r="H445" s="16">
        <f t="shared" si="374"/>
        <v>33640183</v>
      </c>
      <c r="I445" s="16"/>
      <c r="J445" s="436">
        <f t="shared" si="375"/>
        <v>3.7650707655473395E-4</v>
      </c>
      <c r="K445" s="16"/>
      <c r="L445" s="16"/>
      <c r="M445" s="16"/>
      <c r="N445" s="16">
        <f t="shared" si="376"/>
        <v>140012</v>
      </c>
      <c r="O445" s="16">
        <f t="shared" si="377"/>
        <v>77156.383027522941</v>
      </c>
      <c r="P445" s="41"/>
      <c r="Q445" s="17">
        <f t="shared" si="378"/>
        <v>140012</v>
      </c>
      <c r="R445" s="16"/>
      <c r="S445" s="60">
        <f t="shared" si="379"/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si="380"/>
        <v>3248</v>
      </c>
      <c r="AA445" s="33">
        <f t="shared" si="381"/>
        <v>595445</v>
      </c>
      <c r="AB445" s="33"/>
      <c r="AC445" s="46">
        <f t="shared" si="382"/>
        <v>1.770040906138947E-2</v>
      </c>
      <c r="AD445" s="33"/>
      <c r="AE445" s="33">
        <f t="shared" si="383"/>
        <v>1365.6995412844037</v>
      </c>
      <c r="AF445" s="50"/>
      <c r="AG445" s="33">
        <f t="shared" si="384"/>
        <v>3476</v>
      </c>
      <c r="AH445" s="33">
        <f>SUM(D416:D1188)</f>
        <v>828586328.06091404</v>
      </c>
      <c r="AI445" s="213">
        <f t="shared" si="385"/>
        <v>-8.7903437418000524E-2</v>
      </c>
      <c r="AJ445" s="50"/>
      <c r="AK445" s="111"/>
      <c r="AL445" s="23">
        <f t="shared" si="386"/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si="387"/>
        <v>1.8698788203567972E-3</v>
      </c>
      <c r="AS445" s="25"/>
      <c r="AT445" s="25"/>
      <c r="AU445" s="24"/>
      <c r="AV445" s="298">
        <f t="shared" si="388"/>
        <v>0.82695629212242994</v>
      </c>
      <c r="AW445" s="298"/>
      <c r="AX445" s="24">
        <f t="shared" si="389"/>
        <v>63804.956422018346</v>
      </c>
      <c r="AY445" s="308"/>
      <c r="AZ445" s="111"/>
      <c r="BA445" s="65">
        <f t="shared" si="390"/>
        <v>775719</v>
      </c>
      <c r="BB445" s="66"/>
      <c r="BC445" s="66">
        <v>478917136</v>
      </c>
      <c r="BD445" s="66"/>
      <c r="BE445" s="66">
        <f t="shared" si="391"/>
        <v>12661</v>
      </c>
      <c r="BF445" s="66"/>
      <c r="BG445" s="144">
        <f t="shared" si="392"/>
        <v>1.6321631931150327E-2</v>
      </c>
      <c r="BH445" s="66"/>
      <c r="BI445" s="170"/>
      <c r="BJ445" s="66"/>
      <c r="BK445" s="66">
        <f t="shared" si="393"/>
        <v>6378525</v>
      </c>
      <c r="BL445" s="66"/>
      <c r="BM445" s="144">
        <f t="shared" si="394"/>
        <v>2.1950529315162989E-2</v>
      </c>
      <c r="BN445" s="65">
        <f t="shared" si="395"/>
        <v>1098433.7981651376</v>
      </c>
      <c r="BO445" s="66"/>
      <c r="BP445" s="66">
        <f t="shared" si="396"/>
        <v>32733205</v>
      </c>
      <c r="BQ445" s="66"/>
      <c r="BR445" s="435">
        <f t="shared" si="397"/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347">
        <f t="shared" si="398"/>
        <v>44346</v>
      </c>
      <c r="C446" s="61"/>
      <c r="D446" s="17">
        <v>7750</v>
      </c>
      <c r="E446" s="16"/>
      <c r="F446" s="16"/>
      <c r="G446" s="16"/>
      <c r="H446" s="16">
        <f t="shared" si="374"/>
        <v>33647933</v>
      </c>
      <c r="I446" s="16"/>
      <c r="J446" s="436">
        <f t="shared" si="375"/>
        <v>2.3037924615332801E-4</v>
      </c>
      <c r="K446" s="16"/>
      <c r="L446" s="16"/>
      <c r="M446" s="16"/>
      <c r="N446" s="16">
        <f t="shared" si="376"/>
        <v>134221</v>
      </c>
      <c r="O446" s="16">
        <f t="shared" si="377"/>
        <v>76997.558352402746</v>
      </c>
      <c r="P446" s="41"/>
      <c r="Q446" s="17">
        <f t="shared" si="378"/>
        <v>134221</v>
      </c>
      <c r="R446" s="16"/>
      <c r="S446" s="60">
        <f t="shared" si="379"/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si="380"/>
        <v>3007</v>
      </c>
      <c r="AA446" s="33">
        <f t="shared" si="381"/>
        <v>595569</v>
      </c>
      <c r="AB446" s="33"/>
      <c r="AC446" s="46">
        <f t="shared" si="382"/>
        <v>1.7700017412659495E-2</v>
      </c>
      <c r="AD446" s="33"/>
      <c r="AE446" s="33">
        <f t="shared" si="383"/>
        <v>1362.8581235697941</v>
      </c>
      <c r="AF446" s="50"/>
      <c r="AG446" s="33">
        <f t="shared" si="384"/>
        <v>3372</v>
      </c>
      <c r="AH446" s="33">
        <f>SUM(D417:D1189)</f>
        <v>828526422.06091404</v>
      </c>
      <c r="AI446" s="213">
        <f t="shared" si="385"/>
        <v>-0.1008</v>
      </c>
      <c r="AJ446" s="50"/>
      <c r="AK446" s="111"/>
      <c r="AL446" s="23">
        <f t="shared" si="386"/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si="387"/>
        <v>7.880596259508038E-4</v>
      </c>
      <c r="AS446" s="25"/>
      <c r="AT446" s="25"/>
      <c r="AU446" s="24"/>
      <c r="AV446" s="298">
        <f t="shared" si="388"/>
        <v>0.82741736320028925</v>
      </c>
      <c r="AW446" s="298"/>
      <c r="AX446" s="24">
        <f t="shared" si="389"/>
        <v>63709.116704805492</v>
      </c>
      <c r="AY446" s="308"/>
      <c r="AZ446" s="111"/>
      <c r="BA446" s="65">
        <f t="shared" si="390"/>
        <v>573759</v>
      </c>
      <c r="BB446" s="66"/>
      <c r="BC446" s="66">
        <v>479490895</v>
      </c>
      <c r="BD446" s="66"/>
      <c r="BE446" s="66">
        <f t="shared" si="391"/>
        <v>7750</v>
      </c>
      <c r="BF446" s="66"/>
      <c r="BG446" s="144">
        <f t="shared" si="392"/>
        <v>1.350741339133678E-2</v>
      </c>
      <c r="BH446" s="66"/>
      <c r="BI446" s="170"/>
      <c r="BJ446" s="66"/>
      <c r="BK446" s="66">
        <f t="shared" si="393"/>
        <v>6186039</v>
      </c>
      <c r="BL446" s="66"/>
      <c r="BM446" s="144">
        <f t="shared" si="394"/>
        <v>2.1697406046098319E-2</v>
      </c>
      <c r="BN446" s="65">
        <f t="shared" si="395"/>
        <v>1097233.1693363844</v>
      </c>
      <c r="BO446" s="66"/>
      <c r="BP446" s="66">
        <f t="shared" si="396"/>
        <v>32740955</v>
      </c>
      <c r="BQ446" s="66"/>
      <c r="BR446" s="435">
        <f t="shared" si="397"/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398"/>
        <v>44347</v>
      </c>
      <c r="C447" s="61"/>
      <c r="D447" s="17">
        <v>5235</v>
      </c>
      <c r="E447" s="16"/>
      <c r="F447" s="16"/>
      <c r="G447" s="16"/>
      <c r="H447" s="16">
        <f t="shared" si="374"/>
        <v>33653168</v>
      </c>
      <c r="I447" s="16"/>
      <c r="J447" s="436">
        <f t="shared" si="375"/>
        <v>1.5558162220544126E-4</v>
      </c>
      <c r="K447" s="16"/>
      <c r="L447" s="16"/>
      <c r="M447" s="16"/>
      <c r="N447" s="16">
        <f t="shared" si="376"/>
        <v>119090</v>
      </c>
      <c r="O447" s="16">
        <f t="shared" si="377"/>
        <v>76833.716894977173</v>
      </c>
      <c r="P447" s="41"/>
      <c r="Q447" s="17">
        <f t="shared" si="378"/>
        <v>119090</v>
      </c>
      <c r="R447" s="16"/>
      <c r="S447" s="60">
        <f t="shared" si="379"/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si="380"/>
        <v>2453</v>
      </c>
      <c r="AA447" s="33">
        <f t="shared" si="381"/>
        <v>595684</v>
      </c>
      <c r="AB447" s="33"/>
      <c r="AC447" s="46">
        <f t="shared" si="382"/>
        <v>1.770068125532788E-2</v>
      </c>
      <c r="AD447" s="33"/>
      <c r="AE447" s="33">
        <f t="shared" si="383"/>
        <v>1360.0091324200914</v>
      </c>
      <c r="AF447" s="50"/>
      <c r="AG447" s="33">
        <f t="shared" si="384"/>
        <v>3122</v>
      </c>
      <c r="AH447" s="33">
        <f>SUM(D418:D1190)</f>
        <v>828484388.06091404</v>
      </c>
      <c r="AI447" s="213">
        <f t="shared" si="385"/>
        <v>-0.16657768286171917</v>
      </c>
      <c r="AJ447" s="50"/>
      <c r="AK447" s="111"/>
      <c r="AL447" s="23">
        <f t="shared" si="386"/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si="387"/>
        <v>8.2454278391447624E-4</v>
      </c>
      <c r="AS447" s="25"/>
      <c r="AT447" s="25"/>
      <c r="AU447" s="24"/>
      <c r="AV447" s="298">
        <f t="shared" si="388"/>
        <v>0.82797078717819372</v>
      </c>
      <c r="AW447" s="298"/>
      <c r="AX447" s="24">
        <f t="shared" si="389"/>
        <v>63616.07305936073</v>
      </c>
      <c r="AY447" s="308"/>
      <c r="AZ447" s="111"/>
      <c r="BA447" s="65">
        <f t="shared" si="390"/>
        <v>439228</v>
      </c>
      <c r="BB447" s="66"/>
      <c r="BC447" s="66">
        <v>479930123</v>
      </c>
      <c r="BD447" s="66"/>
      <c r="BE447" s="66">
        <f t="shared" si="391"/>
        <v>5235</v>
      </c>
      <c r="BF447" s="66"/>
      <c r="BG447" s="144">
        <f t="shared" si="392"/>
        <v>1.1918639066726164E-2</v>
      </c>
      <c r="BH447" s="66"/>
      <c r="BI447" s="170"/>
      <c r="BJ447" s="66"/>
      <c r="BK447" s="66">
        <f t="shared" si="393"/>
        <v>5561510</v>
      </c>
      <c r="BL447" s="66"/>
      <c r="BM447" s="144">
        <f t="shared" si="394"/>
        <v>2.1413249279422314E-2</v>
      </c>
      <c r="BN447" s="65">
        <f t="shared" si="395"/>
        <v>1095730.8744292238</v>
      </c>
      <c r="BO447" s="66"/>
      <c r="BP447" s="66">
        <f t="shared" si="396"/>
        <v>32746190</v>
      </c>
      <c r="BQ447" s="66"/>
      <c r="BR447" s="435">
        <f t="shared" si="397"/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3">
      <c r="B448" s="158">
        <f t="shared" si="398"/>
        <v>44348</v>
      </c>
      <c r="C448" s="61"/>
      <c r="D448" s="17">
        <v>12976</v>
      </c>
      <c r="E448" s="16"/>
      <c r="F448" s="16"/>
      <c r="G448" s="16"/>
      <c r="H448" s="16">
        <f t="shared" si="374"/>
        <v>33666144</v>
      </c>
      <c r="I448" s="16"/>
      <c r="J448" s="436">
        <f t="shared" si="375"/>
        <v>3.855803412029441E-4</v>
      </c>
      <c r="K448" s="16"/>
      <c r="L448" s="16"/>
      <c r="M448" s="16"/>
      <c r="N448" s="16">
        <f t="shared" si="376"/>
        <v>109328</v>
      </c>
      <c r="O448" s="16">
        <f t="shared" si="377"/>
        <v>76688.255125284733</v>
      </c>
      <c r="P448" s="41"/>
      <c r="Q448" s="17">
        <f t="shared" si="378"/>
        <v>109328</v>
      </c>
      <c r="R448" s="16"/>
      <c r="S448" s="60">
        <f t="shared" si="379"/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si="380"/>
        <v>2133</v>
      </c>
      <c r="AA448" s="33">
        <f t="shared" si="381"/>
        <v>595971</v>
      </c>
      <c r="AB448" s="33"/>
      <c r="AC448" s="46">
        <f t="shared" si="382"/>
        <v>1.7702383736016812E-2</v>
      </c>
      <c r="AD448" s="33"/>
      <c r="AE448" s="33">
        <f t="shared" si="383"/>
        <v>1357.5649202733484</v>
      </c>
      <c r="AF448" s="50"/>
      <c r="AG448" s="33">
        <f t="shared" si="384"/>
        <v>2740</v>
      </c>
      <c r="AH448" s="33">
        <f>SUM(D419:D1191)</f>
        <v>828453687.06091404</v>
      </c>
      <c r="AI448" s="213">
        <f t="shared" si="385"/>
        <v>-0.25583921781640412</v>
      </c>
      <c r="AJ448" s="50"/>
      <c r="AK448" s="111"/>
      <c r="AL448" s="23">
        <f t="shared" si="386"/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si="387"/>
        <v>2.7662375322281495E-3</v>
      </c>
      <c r="AS448" s="25"/>
      <c r="AT448" s="25"/>
      <c r="AU448" s="24"/>
      <c r="AV448" s="298">
        <f t="shared" si="388"/>
        <v>0.82994114205654201</v>
      </c>
      <c r="AW448" s="298"/>
      <c r="AX448" s="24">
        <f t="shared" si="389"/>
        <v>63646.738041002282</v>
      </c>
      <c r="AY448" s="308"/>
      <c r="AZ448" s="111"/>
      <c r="BA448" s="65">
        <f t="shared" si="390"/>
        <v>1018663</v>
      </c>
      <c r="BB448" s="66"/>
      <c r="BC448" s="66">
        <v>480948786</v>
      </c>
      <c r="BD448" s="66"/>
      <c r="BE448" s="66">
        <f t="shared" si="391"/>
        <v>12976</v>
      </c>
      <c r="BF448" s="66"/>
      <c r="BG448" s="144">
        <f t="shared" si="392"/>
        <v>1.2738265746375396E-2</v>
      </c>
      <c r="BH448" s="66"/>
      <c r="BI448" s="170"/>
      <c r="BJ448" s="66"/>
      <c r="BK448" s="66">
        <f t="shared" si="393"/>
        <v>5721964</v>
      </c>
      <c r="BL448" s="66"/>
      <c r="BM448" s="144">
        <f t="shared" si="394"/>
        <v>1.91067262918816E-2</v>
      </c>
      <c r="BN448" s="65">
        <f t="shared" si="395"/>
        <v>1095555.3211845104</v>
      </c>
      <c r="BO448" s="66"/>
      <c r="BP448" s="66">
        <f t="shared" si="396"/>
        <v>32759166</v>
      </c>
      <c r="BQ448" s="66"/>
      <c r="BR448" s="435">
        <f t="shared" si="397"/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3">
      <c r="B449" s="158">
        <f t="shared" si="398"/>
        <v>44349</v>
      </c>
      <c r="C449" s="61"/>
      <c r="D449" s="17">
        <v>16974</v>
      </c>
      <c r="E449" s="16"/>
      <c r="F449" s="16"/>
      <c r="G449" s="16"/>
      <c r="H449" s="16">
        <f t="shared" si="374"/>
        <v>33683118</v>
      </c>
      <c r="I449" s="16"/>
      <c r="J449" s="436">
        <f t="shared" si="375"/>
        <v>5.0418604518533518E-4</v>
      </c>
      <c r="K449" s="16"/>
      <c r="L449" s="16"/>
      <c r="M449" s="16"/>
      <c r="N449" s="16">
        <f t="shared" si="376"/>
        <v>102802</v>
      </c>
      <c r="O449" s="16">
        <f t="shared" si="377"/>
        <v>76552.540909090909</v>
      </c>
      <c r="P449" s="41"/>
      <c r="Q449" s="17">
        <f t="shared" si="378"/>
        <v>102802</v>
      </c>
      <c r="R449" s="16"/>
      <c r="S449" s="60">
        <f t="shared" si="379"/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si="380"/>
        <v>2017</v>
      </c>
      <c r="AA449" s="33">
        <f t="shared" si="381"/>
        <v>596485</v>
      </c>
      <c r="AB449" s="33"/>
      <c r="AC449" s="46">
        <f t="shared" si="382"/>
        <v>1.7708722808856353E-2</v>
      </c>
      <c r="AD449" s="33"/>
      <c r="AE449" s="33">
        <f t="shared" si="383"/>
        <v>1355.6477272727273</v>
      </c>
      <c r="AF449" s="50"/>
      <c r="AG449" s="33">
        <f t="shared" si="384"/>
        <v>2647</v>
      </c>
      <c r="AH449" s="33">
        <f>SUM(D420:D1192)</f>
        <v>828413233.06091404</v>
      </c>
      <c r="AI449" s="213">
        <f t="shared" si="385"/>
        <v>-0.27539009033670958</v>
      </c>
      <c r="AJ449" s="50"/>
      <c r="AK449" s="111"/>
      <c r="AL449" s="23">
        <f t="shared" si="386"/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si="387"/>
        <v>1.6317645683652914E-3</v>
      </c>
      <c r="AS449" s="25"/>
      <c r="AT449" s="25"/>
      <c r="AU449" s="24"/>
      <c r="AV449" s="298">
        <f t="shared" si="388"/>
        <v>0.83087649427229393</v>
      </c>
      <c r="AW449" s="298"/>
      <c r="AX449" s="24">
        <f t="shared" si="389"/>
        <v>63605.706818181818</v>
      </c>
      <c r="AY449" s="308"/>
      <c r="AZ449" s="111"/>
      <c r="BA449" s="65">
        <f t="shared" si="390"/>
        <v>659207</v>
      </c>
      <c r="BB449" s="66"/>
      <c r="BC449" s="66">
        <v>481607993</v>
      </c>
      <c r="BD449" s="66"/>
      <c r="BE449" s="66">
        <f t="shared" si="391"/>
        <v>16974</v>
      </c>
      <c r="BF449" s="66"/>
      <c r="BG449" s="144">
        <f t="shared" si="392"/>
        <v>2.5749119775730536E-2</v>
      </c>
      <c r="BH449" s="66"/>
      <c r="BI449" s="170"/>
      <c r="BJ449" s="66"/>
      <c r="BK449" s="66">
        <f t="shared" si="393"/>
        <v>5467750</v>
      </c>
      <c r="BL449" s="66"/>
      <c r="BM449" s="144">
        <f t="shared" si="394"/>
        <v>1.8801517991861368E-2</v>
      </c>
      <c r="BN449" s="65">
        <f t="shared" si="395"/>
        <v>1094563.6204545454</v>
      </c>
      <c r="BO449" s="66"/>
      <c r="BP449" s="66">
        <f t="shared" si="396"/>
        <v>32776140</v>
      </c>
      <c r="BQ449" s="66"/>
      <c r="BR449" s="435">
        <f t="shared" si="397"/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3">
      <c r="B450" s="158">
        <f t="shared" si="398"/>
        <v>44350</v>
      </c>
      <c r="C450" s="61"/>
      <c r="D450" s="17">
        <v>17821</v>
      </c>
      <c r="E450" s="16"/>
      <c r="F450" s="16"/>
      <c r="G450" s="16"/>
      <c r="H450" s="16">
        <f t="shared" si="374"/>
        <v>33700939</v>
      </c>
      <c r="I450" s="16"/>
      <c r="J450" s="436">
        <f t="shared" si="375"/>
        <v>5.2907809781742884E-4</v>
      </c>
      <c r="K450" s="16"/>
      <c r="L450" s="16"/>
      <c r="M450" s="16"/>
      <c r="N450" s="16">
        <f t="shared" si="376"/>
        <v>96230</v>
      </c>
      <c r="O450" s="16">
        <f t="shared" si="377"/>
        <v>76419.36281179139</v>
      </c>
      <c r="P450" s="41"/>
      <c r="Q450" s="17">
        <f t="shared" si="378"/>
        <v>96230</v>
      </c>
      <c r="R450" s="16"/>
      <c r="S450" s="60">
        <f t="shared" si="379"/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si="380"/>
        <v>1964</v>
      </c>
      <c r="AA450" s="33">
        <f t="shared" si="381"/>
        <v>597059</v>
      </c>
      <c r="AB450" s="33"/>
      <c r="AC450" s="46">
        <f t="shared" si="382"/>
        <v>1.7716390632320365E-2</v>
      </c>
      <c r="AD450" s="33"/>
      <c r="AE450" s="33">
        <f t="shared" si="383"/>
        <v>1353.875283446712</v>
      </c>
      <c r="AF450" s="50"/>
      <c r="AG450" s="33">
        <f t="shared" si="384"/>
        <v>2591</v>
      </c>
      <c r="AH450" s="33">
        <f>SUM(D421:D1193)</f>
        <v>828370879.06091404</v>
      </c>
      <c r="AI450" s="213">
        <f t="shared" si="385"/>
        <v>-0.28504415011037526</v>
      </c>
      <c r="AJ450" s="50"/>
      <c r="AK450" s="111"/>
      <c r="AL450" s="23">
        <f t="shared" si="386"/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si="387"/>
        <v>1.3958152911593732E-3</v>
      </c>
      <c r="AS450" s="25"/>
      <c r="AT450" s="25"/>
      <c r="AU450" s="24"/>
      <c r="AV450" s="298">
        <f t="shared" si="388"/>
        <v>0.83159626501801631</v>
      </c>
      <c r="AW450" s="298"/>
      <c r="AX450" s="24">
        <f t="shared" si="389"/>
        <v>63550.056689342404</v>
      </c>
      <c r="AY450" s="308"/>
      <c r="AZ450" s="111"/>
      <c r="BA450" s="65">
        <f t="shared" si="390"/>
        <v>782831</v>
      </c>
      <c r="BB450" s="66"/>
      <c r="BC450" s="66">
        <v>482390824</v>
      </c>
      <c r="BD450" s="66"/>
      <c r="BE450" s="66">
        <f t="shared" si="391"/>
        <v>17821</v>
      </c>
      <c r="BF450" s="66"/>
      <c r="BG450" s="144">
        <f t="shared" si="392"/>
        <v>2.2764811306654947E-2</v>
      </c>
      <c r="BH450" s="66"/>
      <c r="BI450" s="170"/>
      <c r="BJ450" s="66"/>
      <c r="BK450" s="66">
        <f t="shared" si="393"/>
        <v>5242175</v>
      </c>
      <c r="BL450" s="66"/>
      <c r="BM450" s="144">
        <f t="shared" si="394"/>
        <v>1.835688430851698E-2</v>
      </c>
      <c r="BN450" s="65">
        <f t="shared" si="395"/>
        <v>1093856.7437641723</v>
      </c>
      <c r="BO450" s="66"/>
      <c r="BP450" s="66">
        <f t="shared" si="396"/>
        <v>32793961</v>
      </c>
      <c r="BQ450" s="66"/>
      <c r="BR450" s="435">
        <f t="shared" si="397"/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3">
      <c r="B451" s="158">
        <f t="shared" si="398"/>
        <v>44351</v>
      </c>
      <c r="C451" s="61"/>
      <c r="D451" s="17">
        <v>16925</v>
      </c>
      <c r="E451" s="16"/>
      <c r="F451" s="16"/>
      <c r="G451" s="16"/>
      <c r="H451" s="16">
        <f t="shared" si="374"/>
        <v>33717864</v>
      </c>
      <c r="I451" s="16"/>
      <c r="J451" s="436">
        <f t="shared" si="375"/>
        <v>5.0221152591623636E-4</v>
      </c>
      <c r="K451" s="16"/>
      <c r="L451" s="16"/>
      <c r="M451" s="16"/>
      <c r="N451" s="16">
        <f t="shared" si="376"/>
        <v>90342</v>
      </c>
      <c r="O451" s="16">
        <f t="shared" si="377"/>
        <v>76284.760180995479</v>
      </c>
      <c r="P451" s="41"/>
      <c r="Q451" s="17">
        <f t="shared" si="378"/>
        <v>90342</v>
      </c>
      <c r="R451" s="16"/>
      <c r="S451" s="60">
        <f t="shared" si="379"/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si="380"/>
        <v>2134</v>
      </c>
      <c r="AA451" s="33">
        <f t="shared" si="381"/>
        <v>597579</v>
      </c>
      <c r="AB451" s="33"/>
      <c r="AC451" s="46">
        <f t="shared" si="382"/>
        <v>1.7722919814849483E-2</v>
      </c>
      <c r="AD451" s="33"/>
      <c r="AE451" s="33">
        <f t="shared" si="383"/>
        <v>1351.9886877828055</v>
      </c>
      <c r="AF451" s="50"/>
      <c r="AG451" s="33">
        <f t="shared" si="384"/>
        <v>2484</v>
      </c>
      <c r="AH451" s="33">
        <f>SUM(D422:D1194)</f>
        <v>828324750.06091404</v>
      </c>
      <c r="AI451" s="213">
        <f t="shared" si="385"/>
        <v>-0.30884808013355591</v>
      </c>
      <c r="AJ451" s="50"/>
      <c r="AK451" s="111"/>
      <c r="AL451" s="23">
        <f t="shared" si="386"/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si="387"/>
        <v>1.0497554465876257E-3</v>
      </c>
      <c r="AS451" s="25"/>
      <c r="AT451" s="25"/>
      <c r="AU451" s="24"/>
      <c r="AV451" s="298">
        <f t="shared" si="388"/>
        <v>0.8320513719374395</v>
      </c>
      <c r="AW451" s="298"/>
      <c r="AX451" s="24">
        <f t="shared" si="389"/>
        <v>63472.839366515836</v>
      </c>
      <c r="AY451" s="308"/>
      <c r="AZ451" s="111"/>
      <c r="BA451" s="65">
        <f t="shared" si="390"/>
        <v>973509</v>
      </c>
      <c r="BB451" s="66"/>
      <c r="BC451" s="66">
        <v>483364333</v>
      </c>
      <c r="BD451" s="66"/>
      <c r="BE451" s="66">
        <f t="shared" si="391"/>
        <v>16925</v>
      </c>
      <c r="BF451" s="66"/>
      <c r="BG451" s="144">
        <f t="shared" si="392"/>
        <v>1.7385560893633238E-2</v>
      </c>
      <c r="BH451" s="66"/>
      <c r="BI451" s="170"/>
      <c r="BJ451" s="66"/>
      <c r="BK451" s="66">
        <f t="shared" si="393"/>
        <v>5222916</v>
      </c>
      <c r="BL451" s="66"/>
      <c r="BM451" s="144">
        <f t="shared" si="394"/>
        <v>1.7297233958960857E-2</v>
      </c>
      <c r="BN451" s="65">
        <f t="shared" si="395"/>
        <v>1093584.463800905</v>
      </c>
      <c r="BO451" s="66"/>
      <c r="BP451" s="66">
        <f t="shared" si="396"/>
        <v>32810886</v>
      </c>
      <c r="BQ451" s="66"/>
      <c r="BR451" s="435">
        <f t="shared" si="397"/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3">
      <c r="B452" s="158">
        <f t="shared" si="398"/>
        <v>44352</v>
      </c>
      <c r="C452" s="61"/>
      <c r="D452" s="17">
        <v>11603</v>
      </c>
      <c r="E452" s="16"/>
      <c r="F452" s="16"/>
      <c r="G452" s="16"/>
      <c r="H452" s="16">
        <f t="shared" si="374"/>
        <v>33729467</v>
      </c>
      <c r="I452" s="16"/>
      <c r="J452" s="436">
        <f t="shared" si="375"/>
        <v>3.4412025625348035E-4</v>
      </c>
      <c r="K452" s="16"/>
      <c r="L452" s="16"/>
      <c r="M452" s="16"/>
      <c r="N452" s="16">
        <f t="shared" si="376"/>
        <v>89284</v>
      </c>
      <c r="O452" s="16">
        <f t="shared" si="377"/>
        <v>76138.751693002254</v>
      </c>
      <c r="P452" s="41"/>
      <c r="Q452" s="17">
        <f t="shared" si="378"/>
        <v>89284</v>
      </c>
      <c r="R452" s="16"/>
      <c r="S452" s="60">
        <f t="shared" si="379"/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si="380"/>
        <v>2398</v>
      </c>
      <c r="AA452" s="33">
        <f t="shared" si="381"/>
        <v>597967</v>
      </c>
      <c r="AB452" s="33"/>
      <c r="AC452" s="46">
        <f t="shared" si="382"/>
        <v>1.7728326391875684E-2</v>
      </c>
      <c r="AD452" s="33"/>
      <c r="AE452" s="33">
        <f t="shared" si="383"/>
        <v>1349.8126410835214</v>
      </c>
      <c r="AF452" s="50"/>
      <c r="AG452" s="33">
        <f t="shared" si="384"/>
        <v>2522</v>
      </c>
      <c r="AH452" s="33">
        <f>SUM(D423:D1195)</f>
        <v>828276931.06091404</v>
      </c>
      <c r="AI452" s="213">
        <f t="shared" si="385"/>
        <v>-0.27445339470655927</v>
      </c>
      <c r="AJ452" s="50"/>
      <c r="AK452" s="111"/>
      <c r="AL452" s="23">
        <f t="shared" si="386"/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si="387"/>
        <v>1.7286048348966023E-3</v>
      </c>
      <c r="AS452" s="25"/>
      <c r="AT452" s="25"/>
      <c r="AU452" s="24"/>
      <c r="AV452" s="298">
        <f t="shared" si="388"/>
        <v>0.83320293795333322</v>
      </c>
      <c r="AW452" s="298"/>
      <c r="AX452" s="24">
        <f t="shared" si="389"/>
        <v>63439.031602708805</v>
      </c>
      <c r="AY452" s="308"/>
      <c r="AZ452" s="111"/>
      <c r="BA452" s="65">
        <f t="shared" si="390"/>
        <v>2921876</v>
      </c>
      <c r="BB452" s="66"/>
      <c r="BC452" s="66">
        <v>486286209</v>
      </c>
      <c r="BD452" s="66"/>
      <c r="BE452" s="66">
        <f t="shared" si="391"/>
        <v>11603</v>
      </c>
      <c r="BF452" s="66"/>
      <c r="BG452" s="144">
        <f t="shared" si="392"/>
        <v>3.971078854817932E-3</v>
      </c>
      <c r="BH452" s="66"/>
      <c r="BI452" s="170"/>
      <c r="BJ452" s="66"/>
      <c r="BK452" s="66">
        <f t="shared" si="393"/>
        <v>7369073</v>
      </c>
      <c r="BL452" s="66"/>
      <c r="BM452" s="144">
        <f t="shared" si="394"/>
        <v>1.2116042275602373E-2</v>
      </c>
      <c r="BN452" s="65">
        <f t="shared" si="395"/>
        <v>1097711.5327313771</v>
      </c>
      <c r="BO452" s="66"/>
      <c r="BP452" s="66">
        <f t="shared" si="396"/>
        <v>32822489</v>
      </c>
      <c r="BQ452" s="66"/>
      <c r="BR452" s="435">
        <f t="shared" si="397"/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3">
      <c r="B453" s="347">
        <f t="shared" si="398"/>
        <v>44353</v>
      </c>
      <c r="C453" s="61"/>
      <c r="D453" s="17">
        <v>6408</v>
      </c>
      <c r="E453" s="16"/>
      <c r="F453" s="16"/>
      <c r="G453" s="16"/>
      <c r="H453" s="16">
        <f t="shared" si="374"/>
        <v>33735875</v>
      </c>
      <c r="I453" s="16"/>
      <c r="J453" s="436">
        <f t="shared" si="375"/>
        <v>1.8998224905243834E-4</v>
      </c>
      <c r="K453" s="16"/>
      <c r="L453" s="16"/>
      <c r="M453" s="16"/>
      <c r="N453" s="16">
        <f t="shared" si="376"/>
        <v>87942</v>
      </c>
      <c r="O453" s="16">
        <f t="shared" si="377"/>
        <v>75981.700450450444</v>
      </c>
      <c r="P453" s="41"/>
      <c r="Q453" s="17">
        <f t="shared" si="378"/>
        <v>87942</v>
      </c>
      <c r="R453" s="16"/>
      <c r="S453" s="60">
        <f t="shared" si="379"/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si="380"/>
        <v>2447</v>
      </c>
      <c r="AA453" s="33">
        <f t="shared" si="381"/>
        <v>598131</v>
      </c>
      <c r="AB453" s="33"/>
      <c r="AC453" s="46">
        <f t="shared" si="382"/>
        <v>1.7729820258108021E-2</v>
      </c>
      <c r="AD453" s="33"/>
      <c r="AE453" s="33">
        <f t="shared" si="383"/>
        <v>1347.1418918918919</v>
      </c>
      <c r="AF453" s="50"/>
      <c r="AG453" s="33">
        <f t="shared" si="384"/>
        <v>2562</v>
      </c>
      <c r="AH453" s="33">
        <f>SUM(D424:D1196)</f>
        <v>828227440.06091404</v>
      </c>
      <c r="AI453" s="213">
        <f t="shared" si="385"/>
        <v>-0.2402135231316726</v>
      </c>
      <c r="AJ453" s="50"/>
      <c r="AK453" s="111"/>
      <c r="AL453" s="23">
        <f t="shared" si="386"/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si="387"/>
        <v>6.8482595276152703E-4</v>
      </c>
      <c r="AS453" s="25"/>
      <c r="AT453" s="25"/>
      <c r="AU453" s="24"/>
      <c r="AV453" s="298">
        <f t="shared" si="388"/>
        <v>0.83361516486529552</v>
      </c>
      <c r="AW453" s="298"/>
      <c r="AX453" s="24">
        <f t="shared" si="389"/>
        <v>63339.497747747744</v>
      </c>
      <c r="AY453" s="308"/>
      <c r="AZ453" s="111"/>
      <c r="BA453" s="65">
        <f t="shared" si="390"/>
        <v>582741</v>
      </c>
      <c r="BB453" s="66"/>
      <c r="BC453" s="66">
        <v>486868950</v>
      </c>
      <c r="BD453" s="66"/>
      <c r="BE453" s="66">
        <f t="shared" si="391"/>
        <v>6408</v>
      </c>
      <c r="BF453" s="66"/>
      <c r="BG453" s="144">
        <f t="shared" si="392"/>
        <v>1.0996308823302291E-2</v>
      </c>
      <c r="BH453" s="66"/>
      <c r="BI453" s="170"/>
      <c r="BJ453" s="66"/>
      <c r="BK453" s="66">
        <f t="shared" si="393"/>
        <v>7378055</v>
      </c>
      <c r="BL453" s="66"/>
      <c r="BM453" s="144">
        <f t="shared" si="394"/>
        <v>1.1919401522487973E-2</v>
      </c>
      <c r="BN453" s="65">
        <f t="shared" si="395"/>
        <v>1096551.6891891891</v>
      </c>
      <c r="BO453" s="66"/>
      <c r="BP453" s="66">
        <f t="shared" si="396"/>
        <v>32828897</v>
      </c>
      <c r="BQ453" s="66"/>
      <c r="BR453" s="435">
        <f t="shared" si="397"/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3">
      <c r="B454" s="158">
        <f t="shared" si="398"/>
        <v>44354</v>
      </c>
      <c r="C454" s="61"/>
      <c r="D454" s="17">
        <v>12283</v>
      </c>
      <c r="E454" s="16"/>
      <c r="F454" s="16"/>
      <c r="G454" s="16"/>
      <c r="H454" s="16">
        <f t="shared" si="374"/>
        <v>33748158</v>
      </c>
      <c r="I454" s="16"/>
      <c r="J454" s="436">
        <f t="shared" si="375"/>
        <v>3.6409312045411599E-4</v>
      </c>
      <c r="K454" s="16"/>
      <c r="L454" s="16"/>
      <c r="M454" s="16"/>
      <c r="N454" s="16">
        <f t="shared" si="376"/>
        <v>94990</v>
      </c>
      <c r="O454" s="16">
        <f t="shared" si="377"/>
        <v>75838.557303370791</v>
      </c>
      <c r="P454" s="41"/>
      <c r="Q454" s="17">
        <f t="shared" si="378"/>
        <v>94990</v>
      </c>
      <c r="R454" s="16"/>
      <c r="S454" s="60">
        <f t="shared" si="379"/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si="380"/>
        <v>2472</v>
      </c>
      <c r="AA454" s="33">
        <f t="shared" si="381"/>
        <v>598443</v>
      </c>
      <c r="AB454" s="33"/>
      <c r="AC454" s="46">
        <f t="shared" si="382"/>
        <v>1.7732612251015301E-2</v>
      </c>
      <c r="AD454" s="33"/>
      <c r="AE454" s="33">
        <f t="shared" si="383"/>
        <v>1344.8157303370785</v>
      </c>
      <c r="AF454" s="50"/>
      <c r="AG454" s="33">
        <f t="shared" si="384"/>
        <v>2759</v>
      </c>
      <c r="AH454" s="33">
        <f>SUM(D425:D1197)</f>
        <v>828191685.06091404</v>
      </c>
      <c r="AI454" s="213">
        <f t="shared" si="385"/>
        <v>-0.11627162075592569</v>
      </c>
      <c r="AJ454" s="50"/>
      <c r="AK454" s="111"/>
      <c r="AL454" s="23">
        <f t="shared" si="386"/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si="387"/>
        <v>1.9529393600629982E-3</v>
      </c>
      <c r="AS454" s="25"/>
      <c r="AT454" s="25"/>
      <c r="AU454" s="24"/>
      <c r="AV454" s="298">
        <f t="shared" si="388"/>
        <v>0.83493916912443045</v>
      </c>
      <c r="AW454" s="298"/>
      <c r="AX454" s="24">
        <f t="shared" si="389"/>
        <v>63320.582022471914</v>
      </c>
      <c r="AY454" s="308"/>
      <c r="AZ454" s="111"/>
      <c r="BA454" s="65">
        <f t="shared" si="390"/>
        <v>2864658</v>
      </c>
      <c r="BB454" s="66"/>
      <c r="BC454" s="66">
        <v>489733608</v>
      </c>
      <c r="BD454" s="66"/>
      <c r="BE454" s="66">
        <f t="shared" si="391"/>
        <v>12283</v>
      </c>
      <c r="BF454" s="66"/>
      <c r="BG454" s="144">
        <f t="shared" si="392"/>
        <v>4.2877718736407623E-3</v>
      </c>
      <c r="BH454" s="66"/>
      <c r="BI454" s="170"/>
      <c r="BJ454" s="66"/>
      <c r="BK454" s="66">
        <f t="shared" si="393"/>
        <v>9803485</v>
      </c>
      <c r="BL454" s="66"/>
      <c r="BM454" s="144">
        <f t="shared" si="394"/>
        <v>9.6894114694927366E-3</v>
      </c>
      <c r="BN454" s="65">
        <f t="shared" si="395"/>
        <v>1100524.9617977529</v>
      </c>
      <c r="BO454" s="66"/>
      <c r="BP454" s="66">
        <f t="shared" si="396"/>
        <v>32841180</v>
      </c>
      <c r="BQ454" s="66"/>
      <c r="BR454" s="435">
        <f t="shared" si="397"/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3">
      <c r="B455" s="158">
        <f t="shared" si="398"/>
        <v>44355</v>
      </c>
      <c r="C455" s="61"/>
      <c r="D455" s="17">
        <v>13542</v>
      </c>
      <c r="E455" s="16"/>
      <c r="F455" s="16"/>
      <c r="G455" s="16"/>
      <c r="H455" s="16">
        <f t="shared" si="374"/>
        <v>33761700</v>
      </c>
      <c r="I455" s="16"/>
      <c r="J455" s="436">
        <f t="shared" si="375"/>
        <v>4.0126634466983353E-4</v>
      </c>
      <c r="K455" s="16"/>
      <c r="L455" s="16"/>
      <c r="M455" s="16"/>
      <c r="N455" s="16">
        <f t="shared" si="376"/>
        <v>95556</v>
      </c>
      <c r="O455" s="16">
        <f t="shared" si="377"/>
        <v>75698.87892376681</v>
      </c>
      <c r="P455" s="41"/>
      <c r="Q455" s="17">
        <f t="shared" si="378"/>
        <v>95556</v>
      </c>
      <c r="R455" s="16"/>
      <c r="S455" s="60">
        <f t="shared" si="379"/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si="380"/>
        <v>2359</v>
      </c>
      <c r="AA455" s="33">
        <f t="shared" si="381"/>
        <v>598844</v>
      </c>
      <c r="AB455" s="33"/>
      <c r="AC455" s="46">
        <f t="shared" si="382"/>
        <v>1.7737376968576819E-2</v>
      </c>
      <c r="AD455" s="33"/>
      <c r="AE455" s="33">
        <f t="shared" si="383"/>
        <v>1342.6995515695066</v>
      </c>
      <c r="AF455" s="50"/>
      <c r="AG455" s="33">
        <f t="shared" si="384"/>
        <v>2873</v>
      </c>
      <c r="AH455" s="33">
        <f>SUM(D426:D1198)</f>
        <v>828169485.06091404</v>
      </c>
      <c r="AI455" s="213">
        <f t="shared" si="385"/>
        <v>4.8540145985401462E-2</v>
      </c>
      <c r="AJ455" s="50"/>
      <c r="AK455" s="111"/>
      <c r="AL455" s="23">
        <f t="shared" si="386"/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si="387"/>
        <v>1.533271447425778E-3</v>
      </c>
      <c r="AS455" s="25"/>
      <c r="AT455" s="25"/>
      <c r="AU455" s="24"/>
      <c r="AV455" s="298">
        <f t="shared" si="388"/>
        <v>0.83588394541744049</v>
      </c>
      <c r="AW455" s="298"/>
      <c r="AX455" s="24">
        <f t="shared" si="389"/>
        <v>63275.477578475336</v>
      </c>
      <c r="AY455" s="308"/>
      <c r="AZ455" s="111"/>
      <c r="BA455" s="65">
        <f t="shared" si="390"/>
        <v>589126</v>
      </c>
      <c r="BB455" s="66"/>
      <c r="BC455" s="66">
        <v>490322734</v>
      </c>
      <c r="BD455" s="66"/>
      <c r="BE455" s="66">
        <f t="shared" si="391"/>
        <v>13542</v>
      </c>
      <c r="BF455" s="66"/>
      <c r="BG455" s="144">
        <f t="shared" si="392"/>
        <v>2.2986593699819733E-2</v>
      </c>
      <c r="BH455" s="66"/>
      <c r="BI455" s="170"/>
      <c r="BJ455" s="66"/>
      <c r="BK455" s="66">
        <f t="shared" si="393"/>
        <v>9373948</v>
      </c>
      <c r="BL455" s="66"/>
      <c r="BM455" s="144">
        <f t="shared" si="394"/>
        <v>1.0193783878468282E-2</v>
      </c>
      <c r="BN455" s="65">
        <f t="shared" si="395"/>
        <v>1099378.32735426</v>
      </c>
      <c r="BO455" s="66"/>
      <c r="BP455" s="66">
        <f t="shared" si="396"/>
        <v>32854722</v>
      </c>
      <c r="BQ455" s="66"/>
      <c r="BR455" s="435">
        <f t="shared" si="397"/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3">
      <c r="B456" s="158">
        <f t="shared" si="398"/>
        <v>44356</v>
      </c>
      <c r="C456" s="61"/>
      <c r="D456" s="17">
        <v>14201</v>
      </c>
      <c r="E456" s="16"/>
      <c r="F456" s="16"/>
      <c r="G456" s="16"/>
      <c r="H456" s="16">
        <f t="shared" si="374"/>
        <v>33775901</v>
      </c>
      <c r="I456" s="16"/>
      <c r="J456" s="436">
        <f t="shared" si="375"/>
        <v>4.2062455385836616E-4</v>
      </c>
      <c r="K456" s="16"/>
      <c r="L456" s="16"/>
      <c r="M456" s="16"/>
      <c r="N456" s="16">
        <f t="shared" si="376"/>
        <v>92783</v>
      </c>
      <c r="O456" s="16">
        <f t="shared" si="377"/>
        <v>75561.299776286352</v>
      </c>
      <c r="P456" s="41"/>
      <c r="Q456" s="17">
        <f t="shared" si="378"/>
        <v>92783</v>
      </c>
      <c r="R456" s="16"/>
      <c r="S456" s="60">
        <f t="shared" si="379"/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si="380"/>
        <v>2237</v>
      </c>
      <c r="AA456" s="33">
        <f t="shared" si="381"/>
        <v>599296</v>
      </c>
      <c r="AB456" s="33"/>
      <c r="AC456" s="46">
        <f t="shared" si="382"/>
        <v>1.7743301651671706E-2</v>
      </c>
      <c r="AD456" s="33"/>
      <c r="AE456" s="33">
        <f t="shared" si="383"/>
        <v>1340.7069351230425</v>
      </c>
      <c r="AF456" s="50"/>
      <c r="AG456" s="33">
        <f t="shared" si="384"/>
        <v>2811</v>
      </c>
      <c r="AH456" s="33">
        <f>SUM(D427:D1199)</f>
        <v>828139333.06091404</v>
      </c>
      <c r="AI456" s="213">
        <f t="shared" si="385"/>
        <v>6.1956932376275031E-2</v>
      </c>
      <c r="AJ456" s="50"/>
      <c r="AK456" s="111"/>
      <c r="AL456" s="23">
        <f t="shared" si="386"/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si="387"/>
        <v>1.1774267852829306E-3</v>
      </c>
      <c r="AS456" s="25"/>
      <c r="AT456" s="25"/>
      <c r="AU456" s="24"/>
      <c r="AV456" s="298">
        <f t="shared" si="388"/>
        <v>0.83651627827781705</v>
      </c>
      <c r="AW456" s="298"/>
      <c r="AX456" s="24">
        <f t="shared" si="389"/>
        <v>63208.25727069351</v>
      </c>
      <c r="AY456" s="308"/>
      <c r="AZ456" s="111"/>
      <c r="BA456" s="65">
        <f t="shared" si="390"/>
        <v>758547</v>
      </c>
      <c r="BB456" s="66"/>
      <c r="BC456" s="66">
        <v>491081281</v>
      </c>
      <c r="BD456" s="66"/>
      <c r="BE456" s="66">
        <f t="shared" si="391"/>
        <v>14201</v>
      </c>
      <c r="BF456" s="66"/>
      <c r="BG456" s="144">
        <f t="shared" si="392"/>
        <v>1.8721318520803588E-2</v>
      </c>
      <c r="BH456" s="66"/>
      <c r="BI456" s="170"/>
      <c r="BJ456" s="66"/>
      <c r="BK456" s="66">
        <f t="shared" si="393"/>
        <v>9473288</v>
      </c>
      <c r="BL456" s="66"/>
      <c r="BM456" s="144">
        <f t="shared" si="394"/>
        <v>9.7941707250956585E-3</v>
      </c>
      <c r="BN456" s="65">
        <f t="shared" si="395"/>
        <v>1098615.8411633109</v>
      </c>
      <c r="BO456" s="66"/>
      <c r="BP456" s="66">
        <f t="shared" si="396"/>
        <v>32868923</v>
      </c>
      <c r="BQ456" s="66"/>
      <c r="BR456" s="435">
        <f t="shared" si="397"/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3">
      <c r="B457" s="158">
        <f t="shared" si="398"/>
        <v>44357</v>
      </c>
      <c r="C457" s="61"/>
      <c r="D457" s="17">
        <v>16764</v>
      </c>
      <c r="E457" s="16"/>
      <c r="F457" s="16"/>
      <c r="G457" s="16"/>
      <c r="H457" s="16">
        <f t="shared" si="374"/>
        <v>33792665</v>
      </c>
      <c r="I457" s="16"/>
      <c r="J457" s="436">
        <f t="shared" si="375"/>
        <v>4.9633020892618084E-4</v>
      </c>
      <c r="K457" s="16"/>
      <c r="L457" s="16"/>
      <c r="M457" s="16"/>
      <c r="N457" s="16">
        <f t="shared" si="376"/>
        <v>91726</v>
      </c>
      <c r="O457" s="16">
        <f t="shared" si="377"/>
        <v>75430.055803571435</v>
      </c>
      <c r="P457" s="41"/>
      <c r="Q457" s="17">
        <f t="shared" si="378"/>
        <v>91726</v>
      </c>
      <c r="R457" s="16"/>
      <c r="S457" s="60">
        <f t="shared" si="379"/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si="380"/>
        <v>2198</v>
      </c>
      <c r="AA457" s="33">
        <f t="shared" si="381"/>
        <v>599777</v>
      </c>
      <c r="AB457" s="33"/>
      <c r="AC457" s="46">
        <f t="shared" si="382"/>
        <v>1.7748733341984124E-2</v>
      </c>
      <c r="AD457" s="33"/>
      <c r="AE457" s="33">
        <f t="shared" si="383"/>
        <v>1338.7879464285713</v>
      </c>
      <c r="AF457" s="50"/>
      <c r="AG457" s="33">
        <f t="shared" si="384"/>
        <v>2718</v>
      </c>
      <c r="AH457" s="33">
        <f>SUM(D428:D1200)</f>
        <v>828104429.06091404</v>
      </c>
      <c r="AI457" s="213">
        <f t="shared" si="385"/>
        <v>4.901582400617522E-2</v>
      </c>
      <c r="AJ457" s="50"/>
      <c r="AK457" s="111"/>
      <c r="AL457" s="23">
        <f t="shared" si="386"/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si="387"/>
        <v>1.6248620421021509E-3</v>
      </c>
      <c r="AS457" s="25"/>
      <c r="AT457" s="25"/>
      <c r="AU457" s="24"/>
      <c r="AV457" s="298">
        <f t="shared" si="388"/>
        <v>0.83745984520605288</v>
      </c>
      <c r="AW457" s="298"/>
      <c r="AX457" s="24">
        <f t="shared" si="389"/>
        <v>63169.642857142855</v>
      </c>
      <c r="AY457" s="308"/>
      <c r="AZ457" s="111"/>
      <c r="BA457" s="65">
        <f t="shared" si="390"/>
        <v>918719</v>
      </c>
      <c r="BB457" s="66"/>
      <c r="BC457" s="66">
        <v>492000000</v>
      </c>
      <c r="BD457" s="66"/>
      <c r="BE457" s="66">
        <f t="shared" si="391"/>
        <v>16764</v>
      </c>
      <c r="BF457" s="66"/>
      <c r="BG457" s="144">
        <f t="shared" si="392"/>
        <v>1.8247146298269654E-2</v>
      </c>
      <c r="BH457" s="66"/>
      <c r="BI457" s="170"/>
      <c r="BJ457" s="66"/>
      <c r="BK457" s="66">
        <f t="shared" si="393"/>
        <v>9609176</v>
      </c>
      <c r="BL457" s="66"/>
      <c r="BM457" s="144">
        <f t="shared" si="394"/>
        <v>9.5456675993862532E-3</v>
      </c>
      <c r="BN457" s="65">
        <f t="shared" si="395"/>
        <v>1098214.2857142857</v>
      </c>
      <c r="BO457" s="66"/>
      <c r="BP457" s="66">
        <f t="shared" si="396"/>
        <v>32885687</v>
      </c>
      <c r="BQ457" s="66"/>
      <c r="BR457" s="435">
        <f t="shared" si="397"/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3">
      <c r="B458" s="158">
        <f t="shared" si="398"/>
        <v>44358</v>
      </c>
      <c r="C458" s="61"/>
      <c r="D458" s="17">
        <v>16145</v>
      </c>
      <c r="E458" s="16"/>
      <c r="F458" s="16"/>
      <c r="G458" s="16"/>
      <c r="H458" s="16">
        <f t="shared" si="374"/>
        <v>33808810</v>
      </c>
      <c r="I458" s="16"/>
      <c r="J458" s="436">
        <f t="shared" si="375"/>
        <v>4.7776640285695138E-4</v>
      </c>
      <c r="K458" s="16"/>
      <c r="L458" s="16"/>
      <c r="M458" s="16"/>
      <c r="N458" s="16">
        <f t="shared" si="376"/>
        <v>90946</v>
      </c>
      <c r="O458" s="16">
        <f t="shared" si="377"/>
        <v>75298.017817371932</v>
      </c>
      <c r="P458" s="41"/>
      <c r="Q458" s="17">
        <f t="shared" si="378"/>
        <v>90946</v>
      </c>
      <c r="R458" s="16"/>
      <c r="S458" s="60">
        <f t="shared" si="379"/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si="380"/>
        <v>2231</v>
      </c>
      <c r="AA458" s="33">
        <f t="shared" si="381"/>
        <v>600198</v>
      </c>
      <c r="AB458" s="33"/>
      <c r="AC458" s="46">
        <f t="shared" si="382"/>
        <v>1.7752710018483348E-2</v>
      </c>
      <c r="AD458" s="33"/>
      <c r="AE458" s="33">
        <f t="shared" si="383"/>
        <v>1336.7438752783964</v>
      </c>
      <c r="AF458" s="50"/>
      <c r="AG458" s="33">
        <f t="shared" si="384"/>
        <v>2619</v>
      </c>
      <c r="AH458" s="33">
        <f>SUM(D429:D1201)</f>
        <v>828068613.06091404</v>
      </c>
      <c r="AI458" s="213">
        <f t="shared" si="385"/>
        <v>5.434782608695652E-2</v>
      </c>
      <c r="AJ458" s="50"/>
      <c r="AK458" s="111"/>
      <c r="AL458" s="23">
        <f t="shared" si="386"/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si="387"/>
        <v>1.6368904593639577E-3</v>
      </c>
      <c r="AS458" s="25"/>
      <c r="AT458" s="25"/>
      <c r="AU458" s="24"/>
      <c r="AV458" s="298">
        <f t="shared" si="388"/>
        <v>0.83843010150312891</v>
      </c>
      <c r="AW458" s="298"/>
      <c r="AX458" s="24">
        <f t="shared" si="389"/>
        <v>63132.124721603563</v>
      </c>
      <c r="AY458" s="308"/>
      <c r="AZ458" s="111"/>
      <c r="BA458" s="65">
        <f t="shared" si="390"/>
        <v>1246114</v>
      </c>
      <c r="BB458" s="66"/>
      <c r="BC458" s="66">
        <v>493246114</v>
      </c>
      <c r="BD458" s="66"/>
      <c r="BE458" s="66">
        <f t="shared" si="391"/>
        <v>16145</v>
      </c>
      <c r="BF458" s="66"/>
      <c r="BG458" s="144">
        <f t="shared" si="392"/>
        <v>1.2956278478534066E-2</v>
      </c>
      <c r="BH458" s="66"/>
      <c r="BI458" s="170"/>
      <c r="BJ458" s="66"/>
      <c r="BK458" s="66">
        <f t="shared" si="393"/>
        <v>9881781</v>
      </c>
      <c r="BL458" s="66"/>
      <c r="BM458" s="144">
        <f t="shared" si="394"/>
        <v>9.2034016944921165E-3</v>
      </c>
      <c r="BN458" s="65">
        <f t="shared" si="395"/>
        <v>1098543.6837416482</v>
      </c>
      <c r="BO458" s="66"/>
      <c r="BP458" s="66">
        <f t="shared" si="396"/>
        <v>32901832</v>
      </c>
      <c r="BQ458" s="66"/>
      <c r="BR458" s="435">
        <f t="shared" si="397"/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3">
      <c r="B459" s="158">
        <f t="shared" si="398"/>
        <v>44359</v>
      </c>
      <c r="C459" s="61"/>
      <c r="D459" s="17">
        <v>9427</v>
      </c>
      <c r="E459" s="16"/>
      <c r="F459" s="16"/>
      <c r="G459" s="16"/>
      <c r="H459" s="16">
        <f t="shared" si="374"/>
        <v>33818237</v>
      </c>
      <c r="I459" s="16"/>
      <c r="J459" s="436">
        <f t="shared" si="375"/>
        <v>2.7883264746674018E-4</v>
      </c>
      <c r="K459" s="16"/>
      <c r="L459" s="16"/>
      <c r="M459" s="16"/>
      <c r="N459" s="16">
        <f t="shared" si="376"/>
        <v>88770</v>
      </c>
      <c r="O459" s="16">
        <f t="shared" si="377"/>
        <v>75151.637777777782</v>
      </c>
      <c r="P459" s="41"/>
      <c r="Q459" s="17">
        <f t="shared" si="378"/>
        <v>88770</v>
      </c>
      <c r="R459" s="16"/>
      <c r="S459" s="60">
        <f t="shared" si="379"/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si="380"/>
        <v>2375</v>
      </c>
      <c r="AA459" s="33">
        <f t="shared" si="381"/>
        <v>600506</v>
      </c>
      <c r="AB459" s="33"/>
      <c r="AC459" s="46">
        <f t="shared" si="382"/>
        <v>1.7756868875216648E-2</v>
      </c>
      <c r="AD459" s="33"/>
      <c r="AE459" s="33">
        <f t="shared" si="383"/>
        <v>1334.4577777777777</v>
      </c>
      <c r="AF459" s="50"/>
      <c r="AG459" s="33">
        <f t="shared" si="384"/>
        <v>2539</v>
      </c>
      <c r="AH459" s="33">
        <f>SUM(D430:D1202)</f>
        <v>828028788.06091404</v>
      </c>
      <c r="AI459" s="213">
        <f t="shared" si="385"/>
        <v>6.7406819984139575E-3</v>
      </c>
      <c r="AJ459" s="50"/>
      <c r="AK459" s="111"/>
      <c r="AL459" s="23">
        <f t="shared" si="386"/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si="387"/>
        <v>1.2452761070535989E-3</v>
      </c>
      <c r="AS459" s="25"/>
      <c r="AT459" s="25"/>
      <c r="AU459" s="24"/>
      <c r="AV459" s="298">
        <f t="shared" si="388"/>
        <v>0.83924017091724801</v>
      </c>
      <c r="AW459" s="298"/>
      <c r="AX459" s="24">
        <f t="shared" si="389"/>
        <v>63070.273333333331</v>
      </c>
      <c r="AY459" s="308"/>
      <c r="AZ459" s="111"/>
      <c r="BA459" s="65">
        <f t="shared" si="390"/>
        <v>648739</v>
      </c>
      <c r="BB459" s="66"/>
      <c r="BC459" s="66">
        <v>493894853</v>
      </c>
      <c r="BD459" s="66"/>
      <c r="BE459" s="66">
        <f t="shared" si="391"/>
        <v>9427</v>
      </c>
      <c r="BF459" s="66"/>
      <c r="BG459" s="144">
        <f t="shared" si="392"/>
        <v>1.4531267582186364E-2</v>
      </c>
      <c r="BH459" s="66"/>
      <c r="BI459" s="170"/>
      <c r="BJ459" s="66"/>
      <c r="BK459" s="66">
        <f t="shared" si="393"/>
        <v>7608644</v>
      </c>
      <c r="BL459" s="66"/>
      <c r="BM459" s="144">
        <f t="shared" si="394"/>
        <v>1.1666993487932936E-2</v>
      </c>
      <c r="BN459" s="65">
        <f t="shared" si="395"/>
        <v>1097544.1177777778</v>
      </c>
      <c r="BO459" s="66"/>
      <c r="BP459" s="66">
        <f t="shared" si="396"/>
        <v>32911259</v>
      </c>
      <c r="BQ459" s="66"/>
      <c r="BR459" s="435">
        <f t="shared" si="397"/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3">
      <c r="B460" s="347">
        <f t="shared" si="398"/>
        <v>44360</v>
      </c>
      <c r="C460" s="61"/>
      <c r="D460" s="17">
        <v>5285</v>
      </c>
      <c r="E460" s="16"/>
      <c r="F460" s="16"/>
      <c r="G460" s="16"/>
      <c r="H460" s="16">
        <f t="shared" si="374"/>
        <v>33823522</v>
      </c>
      <c r="I460" s="16"/>
      <c r="J460" s="436">
        <f t="shared" si="375"/>
        <v>1.5627662672066555E-4</v>
      </c>
      <c r="K460" s="16"/>
      <c r="L460" s="16"/>
      <c r="M460" s="16"/>
      <c r="N460" s="16">
        <f t="shared" si="376"/>
        <v>87647</v>
      </c>
      <c r="O460" s="16">
        <f t="shared" si="377"/>
        <v>74996.722838137473</v>
      </c>
      <c r="P460" s="41"/>
      <c r="Q460" s="17">
        <f t="shared" si="378"/>
        <v>87647</v>
      </c>
      <c r="R460" s="16"/>
      <c r="S460" s="60">
        <f t="shared" si="379"/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si="380"/>
        <v>2163</v>
      </c>
      <c r="AA460" s="33">
        <f t="shared" si="381"/>
        <v>600606</v>
      </c>
      <c r="AB460" s="33"/>
      <c r="AC460" s="46">
        <f t="shared" si="382"/>
        <v>1.7757050847632013E-2</v>
      </c>
      <c r="AD460" s="33"/>
      <c r="AE460" s="33">
        <f t="shared" si="383"/>
        <v>1331.7206208425721</v>
      </c>
      <c r="AF460" s="50"/>
      <c r="AG460" s="33">
        <f t="shared" si="384"/>
        <v>2475</v>
      </c>
      <c r="AH460" s="33">
        <f>SUM(D431:D1203)</f>
        <v>827989693.06091404</v>
      </c>
      <c r="AI460" s="213">
        <f t="shared" si="385"/>
        <v>-3.3957845433255272E-2</v>
      </c>
      <c r="AJ460" s="50"/>
      <c r="AK460" s="111"/>
      <c r="AL460" s="23">
        <f t="shared" si="386"/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si="387"/>
        <v>6.5214734196138114E-4</v>
      </c>
      <c r="AS460" s="25"/>
      <c r="AT460" s="25"/>
      <c r="AU460" s="24"/>
      <c r="AV460" s="298">
        <f t="shared" si="388"/>
        <v>0.83965626051598052</v>
      </c>
      <c r="AW460" s="298"/>
      <c r="AX460" s="24">
        <f t="shared" si="389"/>
        <v>62971.467849223947</v>
      </c>
      <c r="AY460" s="308"/>
      <c r="AZ460" s="111"/>
      <c r="BA460" s="65">
        <f t="shared" si="390"/>
        <v>454808</v>
      </c>
      <c r="BB460" s="66"/>
      <c r="BC460" s="66">
        <v>494349661</v>
      </c>
      <c r="BD460" s="66"/>
      <c r="BE460" s="66">
        <f t="shared" si="391"/>
        <v>5285</v>
      </c>
      <c r="BF460" s="66"/>
      <c r="BG460" s="144">
        <f t="shared" si="392"/>
        <v>1.1620288121580976E-2</v>
      </c>
      <c r="BH460" s="66"/>
      <c r="BI460" s="170"/>
      <c r="BJ460" s="66"/>
      <c r="BK460" s="66">
        <f t="shared" si="393"/>
        <v>7480711</v>
      </c>
      <c r="BL460" s="66"/>
      <c r="BM460" s="144">
        <f t="shared" si="394"/>
        <v>1.1716399684468495E-2</v>
      </c>
      <c r="BN460" s="65">
        <f t="shared" si="395"/>
        <v>1096118.9822616407</v>
      </c>
      <c r="BO460" s="66"/>
      <c r="BP460" s="66">
        <f t="shared" si="396"/>
        <v>32916544</v>
      </c>
      <c r="BQ460" s="66"/>
      <c r="BR460" s="435">
        <f t="shared" si="397"/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3">
      <c r="B461" s="158">
        <f t="shared" si="398"/>
        <v>44361</v>
      </c>
      <c r="C461" s="61"/>
      <c r="D461" s="17">
        <v>11521</v>
      </c>
      <c r="E461" s="16"/>
      <c r="F461" s="16"/>
      <c r="G461" s="16"/>
      <c r="H461" s="16">
        <f t="shared" si="374"/>
        <v>33835043</v>
      </c>
      <c r="I461" s="16"/>
      <c r="J461" s="436">
        <f t="shared" si="375"/>
        <v>3.4062094420563298E-4</v>
      </c>
      <c r="K461" s="16"/>
      <c r="L461" s="16"/>
      <c r="M461" s="16"/>
      <c r="N461" s="16">
        <f t="shared" si="376"/>
        <v>86885</v>
      </c>
      <c r="O461" s="16">
        <f t="shared" si="377"/>
        <v>74856.289823008847</v>
      </c>
      <c r="P461" s="41"/>
      <c r="Q461" s="17">
        <f t="shared" si="378"/>
        <v>86885</v>
      </c>
      <c r="R461" s="16"/>
      <c r="S461" s="60">
        <f t="shared" si="379"/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si="380"/>
        <v>2014</v>
      </c>
      <c r="AA461" s="33">
        <f t="shared" si="381"/>
        <v>600858</v>
      </c>
      <c r="AB461" s="33"/>
      <c r="AC461" s="46">
        <f t="shared" si="382"/>
        <v>1.7758452383228832E-2</v>
      </c>
      <c r="AD461" s="33"/>
      <c r="AE461" s="33">
        <f t="shared" si="383"/>
        <v>1329.3318584070796</v>
      </c>
      <c r="AF461" s="50"/>
      <c r="AG461" s="33">
        <f t="shared" si="384"/>
        <v>2415</v>
      </c>
      <c r="AH461" s="33">
        <f>SUM(D432:D1204)</f>
        <v>827964051.06091404</v>
      </c>
      <c r="AI461" s="213">
        <f t="shared" si="385"/>
        <v>-0.12468285610728524</v>
      </c>
      <c r="AJ461" s="50"/>
      <c r="AK461" s="111"/>
      <c r="AL461" s="23">
        <f t="shared" si="386"/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si="387"/>
        <v>5.1461732642651093E-3</v>
      </c>
      <c r="AS461" s="25"/>
      <c r="AT461" s="25"/>
      <c r="AU461" s="24"/>
      <c r="AV461" s="298">
        <f t="shared" si="388"/>
        <v>0.84368989866512067</v>
      </c>
      <c r="AW461" s="298"/>
      <c r="AX461" s="24">
        <f t="shared" si="389"/>
        <v>63155.495575221241</v>
      </c>
      <c r="AY461" s="308"/>
      <c r="AZ461" s="111"/>
      <c r="BA461" s="65">
        <f t="shared" si="390"/>
        <v>1054127</v>
      </c>
      <c r="BB461" s="66"/>
      <c r="BC461" s="66">
        <v>495403788</v>
      </c>
      <c r="BD461" s="66"/>
      <c r="BE461" s="66">
        <f t="shared" si="391"/>
        <v>11521</v>
      </c>
      <c r="BF461" s="66"/>
      <c r="BG461" s="144">
        <f t="shared" si="392"/>
        <v>1.0929423115051603E-2</v>
      </c>
      <c r="BH461" s="66"/>
      <c r="BI461" s="170"/>
      <c r="BJ461" s="66"/>
      <c r="BK461" s="66">
        <f t="shared" si="393"/>
        <v>5670180</v>
      </c>
      <c r="BL461" s="66"/>
      <c r="BM461" s="144">
        <f t="shared" si="394"/>
        <v>1.5323146707864653E-2</v>
      </c>
      <c r="BN461" s="65">
        <f t="shared" si="395"/>
        <v>1096026.0796460176</v>
      </c>
      <c r="BO461" s="66"/>
      <c r="BP461" s="66">
        <f t="shared" si="396"/>
        <v>32928065</v>
      </c>
      <c r="BQ461" s="66"/>
      <c r="BR461" s="435">
        <f t="shared" si="397"/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3">
      <c r="B462" s="158">
        <f t="shared" si="398"/>
        <v>44362</v>
      </c>
      <c r="C462" s="61"/>
      <c r="D462" s="17">
        <v>12580</v>
      </c>
      <c r="E462" s="16"/>
      <c r="F462" s="16"/>
      <c r="G462" s="16"/>
      <c r="H462" s="16">
        <f t="shared" si="374"/>
        <v>33847623</v>
      </c>
      <c r="I462" s="16"/>
      <c r="J462" s="436">
        <f t="shared" si="375"/>
        <v>3.7180387209793112E-4</v>
      </c>
      <c r="K462" s="16"/>
      <c r="L462" s="16"/>
      <c r="M462" s="16"/>
      <c r="N462" s="16">
        <f t="shared" si="376"/>
        <v>85923</v>
      </c>
      <c r="O462" s="16">
        <f t="shared" si="377"/>
        <v>74718.814569536422</v>
      </c>
      <c r="P462" s="41"/>
      <c r="Q462" s="17">
        <f t="shared" si="378"/>
        <v>85923</v>
      </c>
      <c r="R462" s="16"/>
      <c r="S462" s="60">
        <f t="shared" si="379"/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si="380"/>
        <v>1915</v>
      </c>
      <c r="AA462" s="33">
        <f t="shared" si="381"/>
        <v>601211</v>
      </c>
      <c r="AB462" s="33"/>
      <c r="AC462" s="46">
        <f t="shared" si="382"/>
        <v>1.7762281268613751E-2</v>
      </c>
      <c r="AD462" s="33"/>
      <c r="AE462" s="33">
        <f t="shared" si="383"/>
        <v>1327.176600441501</v>
      </c>
      <c r="AF462" s="50"/>
      <c r="AG462" s="33">
        <f t="shared" si="384"/>
        <v>2367</v>
      </c>
      <c r="AH462" s="33">
        <f>SUM(D433:D1205)</f>
        <v>827946217.06091404</v>
      </c>
      <c r="AI462" s="213">
        <f t="shared" si="385"/>
        <v>-0.17612252001392273</v>
      </c>
      <c r="AJ462" s="50"/>
      <c r="AK462" s="111"/>
      <c r="AL462" s="23">
        <f t="shared" si="386"/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si="387"/>
        <v>1.1355943911999194E-3</v>
      </c>
      <c r="AS462" s="25"/>
      <c r="AT462" s="25"/>
      <c r="AU462" s="24"/>
      <c r="AV462" s="298">
        <f t="shared" si="388"/>
        <v>0.84433406150854373</v>
      </c>
      <c r="AW462" s="298"/>
      <c r="AX462" s="24">
        <f t="shared" si="389"/>
        <v>63087.640176600442</v>
      </c>
      <c r="AY462" s="308"/>
      <c r="AZ462" s="111"/>
      <c r="BA462" s="65">
        <f t="shared" si="390"/>
        <v>613617</v>
      </c>
      <c r="BB462" s="66"/>
      <c r="BC462" s="66">
        <v>496017405</v>
      </c>
      <c r="BD462" s="66"/>
      <c r="BE462" s="66">
        <f t="shared" si="391"/>
        <v>12580</v>
      </c>
      <c r="BF462" s="66"/>
      <c r="BG462" s="144">
        <f t="shared" si="392"/>
        <v>2.0501387673418435E-2</v>
      </c>
      <c r="BH462" s="66"/>
      <c r="BI462" s="170"/>
      <c r="BJ462" s="66"/>
      <c r="BK462" s="66">
        <f t="shared" si="393"/>
        <v>5694671</v>
      </c>
      <c r="BL462" s="66"/>
      <c r="BM462" s="144">
        <f t="shared" si="394"/>
        <v>1.5088316778967565E-2</v>
      </c>
      <c r="BN462" s="65">
        <f t="shared" si="395"/>
        <v>1094961.1589403974</v>
      </c>
      <c r="BO462" s="66"/>
      <c r="BP462" s="66">
        <f t="shared" si="396"/>
        <v>32940645</v>
      </c>
      <c r="BQ462" s="66"/>
      <c r="BR462" s="435">
        <f t="shared" si="397"/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3">
      <c r="B463" s="158">
        <f t="shared" si="398"/>
        <v>44363</v>
      </c>
      <c r="C463" s="61"/>
      <c r="D463" s="17">
        <v>14063</v>
      </c>
      <c r="E463" s="16"/>
      <c r="F463" s="16"/>
      <c r="G463" s="16"/>
      <c r="H463" s="16">
        <f t="shared" si="374"/>
        <v>33861686</v>
      </c>
      <c r="I463" s="16"/>
      <c r="J463" s="436">
        <f t="shared" si="375"/>
        <v>4.1547969262125143E-4</v>
      </c>
      <c r="K463" s="16"/>
      <c r="L463" s="16"/>
      <c r="M463" s="16"/>
      <c r="N463" s="16">
        <f t="shared" si="376"/>
        <v>85785</v>
      </c>
      <c r="O463" s="16">
        <f t="shared" si="377"/>
        <v>74585.211453744487</v>
      </c>
      <c r="P463" s="41"/>
      <c r="Q463" s="17">
        <f t="shared" si="378"/>
        <v>85785</v>
      </c>
      <c r="R463" s="16"/>
      <c r="S463" s="60">
        <f t="shared" si="379"/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si="380"/>
        <v>1868</v>
      </c>
      <c r="AA463" s="33">
        <f t="shared" si="381"/>
        <v>601645</v>
      </c>
      <c r="AB463" s="33"/>
      <c r="AC463" s="46">
        <f t="shared" si="382"/>
        <v>1.7767721311927588E-2</v>
      </c>
      <c r="AD463" s="33"/>
      <c r="AE463" s="33">
        <f t="shared" si="383"/>
        <v>1325.2092511013216</v>
      </c>
      <c r="AF463" s="50"/>
      <c r="AG463" s="33">
        <f t="shared" si="384"/>
        <v>2349</v>
      </c>
      <c r="AH463" s="33">
        <f>SUM(D434:D1206)</f>
        <v>827921187.06091404</v>
      </c>
      <c r="AI463" s="213">
        <f t="shared" si="385"/>
        <v>-0.16435432230522945</v>
      </c>
      <c r="AJ463" s="50"/>
      <c r="AK463" s="111"/>
      <c r="AL463" s="23">
        <f t="shared" si="386"/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si="387"/>
        <v>1.3224533893265477E-3</v>
      </c>
      <c r="AS463" s="25"/>
      <c r="AT463" s="25"/>
      <c r="AU463" s="24"/>
      <c r="AV463" s="298">
        <f t="shared" si="388"/>
        <v>0.84509953225601353</v>
      </c>
      <c r="AW463" s="298"/>
      <c r="AX463" s="24">
        <f t="shared" si="389"/>
        <v>63031.927312775333</v>
      </c>
      <c r="AY463" s="308"/>
      <c r="AZ463" s="111"/>
      <c r="BA463" s="65">
        <f t="shared" si="390"/>
        <v>607828</v>
      </c>
      <c r="BB463" s="66"/>
      <c r="BC463" s="66">
        <v>496625233</v>
      </c>
      <c r="BD463" s="66"/>
      <c r="BE463" s="66">
        <f t="shared" si="391"/>
        <v>14063</v>
      </c>
      <c r="BF463" s="66"/>
      <c r="BG463" s="144">
        <f t="shared" si="392"/>
        <v>2.3136479398777287E-2</v>
      </c>
      <c r="BH463" s="66"/>
      <c r="BI463" s="170"/>
      <c r="BJ463" s="66"/>
      <c r="BK463" s="66">
        <f t="shared" si="393"/>
        <v>5543952</v>
      </c>
      <c r="BL463" s="66"/>
      <c r="BM463" s="144">
        <f t="shared" si="394"/>
        <v>1.5473618819210557E-2</v>
      </c>
      <c r="BN463" s="65">
        <f t="shared" si="395"/>
        <v>1093888.1784140968</v>
      </c>
      <c r="BO463" s="66"/>
      <c r="BP463" s="66">
        <f t="shared" si="396"/>
        <v>32954708</v>
      </c>
      <c r="BQ463" s="66"/>
      <c r="BR463" s="435">
        <f t="shared" si="397"/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3">
      <c r="B464" s="158">
        <f t="shared" si="398"/>
        <v>44364</v>
      </c>
      <c r="C464" s="61"/>
      <c r="D464" s="17">
        <v>13733</v>
      </c>
      <c r="E464" s="16"/>
      <c r="F464" s="16"/>
      <c r="G464" s="16"/>
      <c r="H464" s="16">
        <f t="shared" si="374"/>
        <v>33875419</v>
      </c>
      <c r="I464" s="16"/>
      <c r="J464" s="436">
        <f t="shared" si="375"/>
        <v>4.0556161320496562E-4</v>
      </c>
      <c r="K464" s="16"/>
      <c r="L464" s="16"/>
      <c r="M464" s="16"/>
      <c r="N464" s="16">
        <f t="shared" si="376"/>
        <v>82754</v>
      </c>
      <c r="O464" s="16">
        <f t="shared" si="377"/>
        <v>74451.470329670323</v>
      </c>
      <c r="P464" s="41"/>
      <c r="Q464" s="17">
        <f t="shared" si="378"/>
        <v>82754</v>
      </c>
      <c r="R464" s="16"/>
      <c r="S464" s="60">
        <f t="shared" si="379"/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si="380"/>
        <v>1822</v>
      </c>
      <c r="AA464" s="33">
        <f t="shared" si="381"/>
        <v>602020</v>
      </c>
      <c r="AB464" s="33"/>
      <c r="AC464" s="46">
        <f t="shared" si="382"/>
        <v>1.7771588301239906E-2</v>
      </c>
      <c r="AD464" s="33"/>
      <c r="AE464" s="33">
        <f t="shared" si="383"/>
        <v>1323.1208791208792</v>
      </c>
      <c r="AF464" s="50"/>
      <c r="AG464" s="33">
        <f t="shared" si="384"/>
        <v>2243</v>
      </c>
      <c r="AH464" s="33">
        <f>SUM(D435:D1207)</f>
        <v>827893681.06091404</v>
      </c>
      <c r="AI464" s="213">
        <f t="shared" si="385"/>
        <v>-0.17476085356880058</v>
      </c>
      <c r="AJ464" s="50"/>
      <c r="AK464" s="111"/>
      <c r="AL464" s="23">
        <f t="shared" si="386"/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si="387"/>
        <v>1.0241645596359723E-3</v>
      </c>
      <c r="AS464" s="25"/>
      <c r="AT464" s="25"/>
      <c r="AU464" s="24"/>
      <c r="AV464" s="298">
        <f t="shared" si="388"/>
        <v>0.84562210138271643</v>
      </c>
      <c r="AW464" s="298"/>
      <c r="AX464" s="24">
        <f t="shared" si="389"/>
        <v>62957.808791208794</v>
      </c>
      <c r="AY464" s="308"/>
      <c r="AZ464" s="111"/>
      <c r="BA464" s="65">
        <f t="shared" si="390"/>
        <v>784478</v>
      </c>
      <c r="BB464" s="66"/>
      <c r="BC464" s="66">
        <v>497409711</v>
      </c>
      <c r="BD464" s="66"/>
      <c r="BE464" s="66">
        <f t="shared" si="391"/>
        <v>13733</v>
      </c>
      <c r="BF464" s="66"/>
      <c r="BG464" s="144">
        <f t="shared" si="392"/>
        <v>1.750590838748824E-2</v>
      </c>
      <c r="BH464" s="66"/>
      <c r="BI464" s="170"/>
      <c r="BJ464" s="66"/>
      <c r="BK464" s="66">
        <f t="shared" si="393"/>
        <v>5409711</v>
      </c>
      <c r="BL464" s="66"/>
      <c r="BM464" s="144">
        <f t="shared" si="394"/>
        <v>1.5297305161033557E-2</v>
      </c>
      <c r="BN464" s="65">
        <f t="shared" si="395"/>
        <v>1093208.1560439561</v>
      </c>
      <c r="BO464" s="66"/>
      <c r="BP464" s="66">
        <f t="shared" si="396"/>
        <v>32968441</v>
      </c>
      <c r="BQ464" s="66"/>
      <c r="BR464" s="435">
        <f t="shared" si="397"/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75" x14ac:dyDescent="0.3">
      <c r="B465" s="158">
        <f t="shared" si="398"/>
        <v>44365</v>
      </c>
      <c r="C465" s="61"/>
      <c r="D465" s="17">
        <v>13389</v>
      </c>
      <c r="E465" s="16"/>
      <c r="F465" s="16"/>
      <c r="G465" s="16"/>
      <c r="H465" s="16">
        <f t="shared" si="374"/>
        <v>33888808</v>
      </c>
      <c r="I465" s="16"/>
      <c r="J465" s="436">
        <f t="shared" si="375"/>
        <v>3.952423437183168E-4</v>
      </c>
      <c r="K465" s="16"/>
      <c r="L465" s="16"/>
      <c r="M465" s="16"/>
      <c r="N465" s="16">
        <f t="shared" si="376"/>
        <v>79998</v>
      </c>
      <c r="O465" s="16">
        <f t="shared" si="377"/>
        <v>74317.561403508778</v>
      </c>
      <c r="P465" s="41"/>
      <c r="Q465" s="17">
        <f t="shared" si="378"/>
        <v>79998</v>
      </c>
      <c r="R465" s="16"/>
      <c r="S465" s="60">
        <f t="shared" si="379"/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si="380"/>
        <v>1907</v>
      </c>
      <c r="AA465" s="33">
        <f t="shared" si="381"/>
        <v>602413</v>
      </c>
      <c r="AB465" s="33"/>
      <c r="AC465" s="46">
        <f t="shared" si="382"/>
        <v>1.7776163741138374E-2</v>
      </c>
      <c r="AD465" s="33"/>
      <c r="AE465" s="33">
        <f t="shared" si="383"/>
        <v>1321.0811403508771</v>
      </c>
      <c r="AF465" s="50"/>
      <c r="AG465" s="33">
        <f t="shared" si="384"/>
        <v>2215</v>
      </c>
      <c r="AH465" s="33">
        <f>SUM(D436:D1208)</f>
        <v>827865140.06091404</v>
      </c>
      <c r="AI465" s="213">
        <f t="shared" si="385"/>
        <v>-0.15425735013363878</v>
      </c>
      <c r="AJ465" s="50"/>
      <c r="AK465" s="111"/>
      <c r="AL465" s="23">
        <f t="shared" si="386"/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si="387"/>
        <v>1.0516723863527233E-3</v>
      </c>
      <c r="AS465" s="25"/>
      <c r="AT465" s="25"/>
      <c r="AU465" s="24"/>
      <c r="AV465" s="298">
        <f t="shared" si="388"/>
        <v>0.8461769738256949</v>
      </c>
      <c r="AW465" s="298"/>
      <c r="AX465" s="24">
        <f t="shared" si="389"/>
        <v>62885.809210526313</v>
      </c>
      <c r="AY465" s="308"/>
      <c r="AZ465" s="111"/>
      <c r="BA465" s="65">
        <f t="shared" si="390"/>
        <v>820364</v>
      </c>
      <c r="BB465" s="66"/>
      <c r="BC465" s="66">
        <v>498230075</v>
      </c>
      <c r="BD465" s="66"/>
      <c r="BE465" s="66">
        <f t="shared" si="391"/>
        <v>13389</v>
      </c>
      <c r="BF465" s="66"/>
      <c r="BG465" s="144">
        <f t="shared" si="392"/>
        <v>1.6320803935813859E-2</v>
      </c>
      <c r="BH465" s="66"/>
      <c r="BI465" s="170"/>
      <c r="BJ465" s="66"/>
      <c r="BK465" s="66">
        <f t="shared" si="393"/>
        <v>4983961</v>
      </c>
      <c r="BL465" s="66"/>
      <c r="BM465" s="144">
        <f t="shared" si="394"/>
        <v>1.6051088682275002E-2</v>
      </c>
      <c r="BN465" s="65">
        <f t="shared" si="395"/>
        <v>1092609.8135964912</v>
      </c>
      <c r="BO465" s="66"/>
      <c r="BP465" s="66">
        <f t="shared" si="396"/>
        <v>32981830</v>
      </c>
      <c r="BQ465" s="66"/>
      <c r="BR465" s="435">
        <f t="shared" si="397"/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75" x14ac:dyDescent="0.3">
      <c r="B466" s="158">
        <f t="shared" si="398"/>
        <v>44366</v>
      </c>
      <c r="C466" s="61"/>
      <c r="D466" s="17">
        <v>7782</v>
      </c>
      <c r="E466" s="16"/>
      <c r="F466" s="16"/>
      <c r="G466" s="16"/>
      <c r="H466" s="16">
        <f t="shared" si="374"/>
        <v>33896590</v>
      </c>
      <c r="I466" s="16"/>
      <c r="J466" s="436">
        <f t="shared" si="375"/>
        <v>2.2963333499366516E-4</v>
      </c>
      <c r="K466" s="16"/>
      <c r="L466" s="16"/>
      <c r="M466" s="16"/>
      <c r="N466" s="16">
        <f t="shared" si="376"/>
        <v>78353</v>
      </c>
      <c r="O466" s="16">
        <f t="shared" si="377"/>
        <v>74171.969365426703</v>
      </c>
      <c r="P466" s="41"/>
      <c r="Q466" s="17">
        <f t="shared" si="378"/>
        <v>78353</v>
      </c>
      <c r="R466" s="16"/>
      <c r="S466" s="60">
        <f t="shared" si="379"/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si="380"/>
        <v>1977</v>
      </c>
      <c r="AA466" s="33">
        <f t="shared" si="381"/>
        <v>602583</v>
      </c>
      <c r="AB466" s="33"/>
      <c r="AC466" s="46">
        <f t="shared" si="382"/>
        <v>1.7777097932269881E-2</v>
      </c>
      <c r="AD466" s="33"/>
      <c r="AE466" s="33">
        <f t="shared" si="383"/>
        <v>1318.562363238512</v>
      </c>
      <c r="AF466" s="50"/>
      <c r="AG466" s="33">
        <f t="shared" si="384"/>
        <v>2077</v>
      </c>
      <c r="AH466" s="33">
        <f>SUM(D437:D1209)</f>
        <v>827834926.06091404</v>
      </c>
      <c r="AI466" s="213">
        <f t="shared" si="385"/>
        <v>-0.18196140212682158</v>
      </c>
      <c r="AJ466" s="50"/>
      <c r="AK466" s="111"/>
      <c r="AL466" s="23">
        <f t="shared" si="386"/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si="387"/>
        <v>6.5957758508887368E-4</v>
      </c>
      <c r="AS466" s="25"/>
      <c r="AT466" s="25"/>
      <c r="AU466" s="24"/>
      <c r="AV466" s="298">
        <f t="shared" si="388"/>
        <v>0.84654069922667741</v>
      </c>
      <c r="AW466" s="298"/>
      <c r="AX466" s="24">
        <f t="shared" si="389"/>
        <v>62789.590809628011</v>
      </c>
      <c r="AY466" s="308"/>
      <c r="AZ466" s="111"/>
      <c r="BA466" s="65">
        <f t="shared" si="390"/>
        <v>459136</v>
      </c>
      <c r="BB466" s="66"/>
      <c r="BC466" s="66">
        <v>498689211</v>
      </c>
      <c r="BD466" s="66"/>
      <c r="BE466" s="66">
        <f t="shared" si="391"/>
        <v>7782</v>
      </c>
      <c r="BF466" s="66"/>
      <c r="BG466" s="144">
        <f t="shared" si="392"/>
        <v>1.6949226373013659E-2</v>
      </c>
      <c r="BH466" s="66"/>
      <c r="BI466" s="170"/>
      <c r="BJ466" s="66"/>
      <c r="BK466" s="66">
        <f t="shared" si="393"/>
        <v>4794358</v>
      </c>
      <c r="BL466" s="66"/>
      <c r="BM466" s="144">
        <f t="shared" si="394"/>
        <v>1.6342751208816696E-2</v>
      </c>
      <c r="BN466" s="65">
        <f t="shared" si="395"/>
        <v>1091223.6564551422</v>
      </c>
      <c r="BO466" s="66"/>
      <c r="BP466" s="66">
        <f t="shared" si="396"/>
        <v>32989612</v>
      </c>
      <c r="BQ466" s="66"/>
      <c r="BR466" s="435">
        <f t="shared" si="397"/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75" x14ac:dyDescent="0.3">
      <c r="B467" s="347">
        <f t="shared" si="398"/>
        <v>44367</v>
      </c>
      <c r="C467" s="61"/>
      <c r="D467" s="17">
        <v>4422</v>
      </c>
      <c r="E467" s="16"/>
      <c r="F467" s="16"/>
      <c r="G467" s="16"/>
      <c r="H467" s="16">
        <f t="shared" si="374"/>
        <v>33901012</v>
      </c>
      <c r="I467" s="16"/>
      <c r="J467" s="436">
        <f t="shared" si="375"/>
        <v>1.3045560040110229E-4</v>
      </c>
      <c r="K467" s="16"/>
      <c r="L467" s="16"/>
      <c r="M467" s="16"/>
      <c r="N467" s="16">
        <f t="shared" si="376"/>
        <v>77490</v>
      </c>
      <c r="O467" s="16">
        <f t="shared" si="377"/>
        <v>74019.676855895203</v>
      </c>
      <c r="P467" s="41"/>
      <c r="Q467" s="17">
        <f t="shared" si="378"/>
        <v>77490</v>
      </c>
      <c r="R467" s="16"/>
      <c r="S467" s="60">
        <f t="shared" si="379"/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si="380"/>
        <v>1811</v>
      </c>
      <c r="AA467" s="33">
        <f t="shared" si="381"/>
        <v>602669</v>
      </c>
      <c r="AB467" s="33"/>
      <c r="AC467" s="46">
        <f t="shared" si="382"/>
        <v>1.7777315910215304E-2</v>
      </c>
      <c r="AD467" s="33"/>
      <c r="AE467" s="33">
        <f t="shared" si="383"/>
        <v>1315.8711790393013</v>
      </c>
      <c r="AF467" s="50"/>
      <c r="AG467" s="33">
        <f t="shared" si="384"/>
        <v>2063</v>
      </c>
      <c r="AH467" s="33">
        <f>SUM(D438:D1210)</f>
        <v>827805912.06091404</v>
      </c>
      <c r="AI467" s="213">
        <f t="shared" si="385"/>
        <v>-0.16646464646464645</v>
      </c>
      <c r="AJ467" s="50"/>
      <c r="AK467" s="111"/>
      <c r="AL467" s="23">
        <f t="shared" si="386"/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si="387"/>
        <v>5.7404042949459597E-4</v>
      </c>
      <c r="AS467" s="25"/>
      <c r="AT467" s="25"/>
      <c r="AU467" s="24"/>
      <c r="AV467" s="298">
        <f t="shared" si="388"/>
        <v>0.84691616285673121</v>
      </c>
      <c r="AW467" s="298"/>
      <c r="AX467" s="24">
        <f t="shared" si="389"/>
        <v>62688.46069868996</v>
      </c>
      <c r="AY467" s="308"/>
      <c r="AZ467" s="111"/>
      <c r="BA467" s="65">
        <f t="shared" si="390"/>
        <v>372514</v>
      </c>
      <c r="BB467" s="66"/>
      <c r="BC467" s="66">
        <v>499061725</v>
      </c>
      <c r="BD467" s="66"/>
      <c r="BE467" s="66">
        <f t="shared" si="391"/>
        <v>4422</v>
      </c>
      <c r="BF467" s="66"/>
      <c r="BG467" s="144">
        <f t="shared" si="392"/>
        <v>1.1870694792678932E-2</v>
      </c>
      <c r="BH467" s="66"/>
      <c r="BI467" s="170"/>
      <c r="BJ467" s="66"/>
      <c r="BK467" s="66">
        <f t="shared" si="393"/>
        <v>4712064</v>
      </c>
      <c r="BL467" s="66"/>
      <c r="BM467" s="144">
        <f t="shared" si="394"/>
        <v>1.6445022818026241E-2</v>
      </c>
      <c r="BN467" s="65">
        <f t="shared" si="395"/>
        <v>1089654.4213973798</v>
      </c>
      <c r="BO467" s="66"/>
      <c r="BP467" s="66">
        <f t="shared" si="396"/>
        <v>32994034</v>
      </c>
      <c r="BQ467" s="66"/>
      <c r="BR467" s="435">
        <f t="shared" si="397"/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75" x14ac:dyDescent="0.3">
      <c r="B468" s="158">
        <f t="shared" si="398"/>
        <v>44368</v>
      </c>
      <c r="C468" s="61"/>
      <c r="D468" s="17">
        <v>9755</v>
      </c>
      <c r="E468" s="16"/>
      <c r="F468" s="16"/>
      <c r="G468" s="16"/>
      <c r="H468" s="16">
        <f t="shared" si="374"/>
        <v>33910767</v>
      </c>
      <c r="I468" s="16"/>
      <c r="J468" s="436">
        <f t="shared" si="375"/>
        <v>2.8774952204966626E-4</v>
      </c>
      <c r="K468" s="16"/>
      <c r="L468" s="16"/>
      <c r="M468" s="16"/>
      <c r="N468" s="16">
        <f t="shared" si="376"/>
        <v>75724</v>
      </c>
      <c r="O468" s="16">
        <f t="shared" si="377"/>
        <v>73879.666666666672</v>
      </c>
      <c r="P468" s="41"/>
      <c r="Q468" s="17">
        <f t="shared" si="378"/>
        <v>75724</v>
      </c>
      <c r="R468" s="16"/>
      <c r="S468" s="60">
        <f t="shared" si="379"/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si="380"/>
        <v>1695</v>
      </c>
      <c r="AA468" s="33">
        <f t="shared" si="381"/>
        <v>602906</v>
      </c>
      <c r="AB468" s="33"/>
      <c r="AC468" s="46">
        <f t="shared" si="382"/>
        <v>1.7779190898277234E-2</v>
      </c>
      <c r="AD468" s="33"/>
      <c r="AE468" s="33">
        <f t="shared" si="383"/>
        <v>1313.520697167756</v>
      </c>
      <c r="AF468" s="50"/>
      <c r="AG468" s="33">
        <f t="shared" si="384"/>
        <v>2048</v>
      </c>
      <c r="AH468" s="33">
        <f>SUM(D439:D1211)</f>
        <v>827786273.06091404</v>
      </c>
      <c r="AI468" s="213">
        <f t="shared" si="385"/>
        <v>-0.15196687370600415</v>
      </c>
      <c r="AJ468" s="50"/>
      <c r="AK468" s="111"/>
      <c r="AL468" s="23">
        <f t="shared" si="386"/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si="387"/>
        <v>2.8150922380253221E-3</v>
      </c>
      <c r="AS468" s="25"/>
      <c r="AT468" s="25"/>
      <c r="AU468" s="24"/>
      <c r="AV468" s="298">
        <f t="shared" si="388"/>
        <v>0.84905599451643188</v>
      </c>
      <c r="AW468" s="298"/>
      <c r="AX468" s="24">
        <f t="shared" si="389"/>
        <v>62727.973856209152</v>
      </c>
      <c r="AY468" s="308"/>
      <c r="AZ468" s="111"/>
      <c r="BA468" s="65">
        <f t="shared" si="390"/>
        <v>1247281</v>
      </c>
      <c r="BB468" s="66"/>
      <c r="BC468" s="66">
        <v>500309006</v>
      </c>
      <c r="BD468" s="66"/>
      <c r="BE468" s="66">
        <f t="shared" si="391"/>
        <v>9755</v>
      </c>
      <c r="BF468" s="66"/>
      <c r="BG468" s="144">
        <f t="shared" si="392"/>
        <v>7.8210122658807432E-3</v>
      </c>
      <c r="BH468" s="66"/>
      <c r="BI468" s="170"/>
      <c r="BJ468" s="66"/>
      <c r="BK468" s="66">
        <f t="shared" si="393"/>
        <v>4905218</v>
      </c>
      <c r="BL468" s="66"/>
      <c r="BM468" s="144">
        <f t="shared" si="394"/>
        <v>1.5437438254528138E-2</v>
      </c>
      <c r="BN468" s="65">
        <f t="shared" si="395"/>
        <v>1089997.834422658</v>
      </c>
      <c r="BO468" s="66"/>
      <c r="BP468" s="66">
        <f t="shared" si="396"/>
        <v>33003789</v>
      </c>
      <c r="BQ468" s="66"/>
      <c r="BR468" s="435">
        <f t="shared" si="397"/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75" x14ac:dyDescent="0.3">
      <c r="B469" s="158">
        <f t="shared" si="398"/>
        <v>44369</v>
      </c>
      <c r="C469" s="61"/>
      <c r="D469" s="17">
        <v>12874</v>
      </c>
      <c r="E469" s="16"/>
      <c r="F469" s="16"/>
      <c r="G469" s="16"/>
      <c r="H469" s="16">
        <f t="shared" si="374"/>
        <v>33923641</v>
      </c>
      <c r="I469" s="16"/>
      <c r="J469" s="436">
        <f t="shared" si="375"/>
        <v>3.7964343301347326E-4</v>
      </c>
      <c r="K469" s="16"/>
      <c r="L469" s="16"/>
      <c r="M469" s="16"/>
      <c r="N469" s="16">
        <f t="shared" si="376"/>
        <v>76018</v>
      </c>
      <c r="O469" s="16">
        <f t="shared" si="377"/>
        <v>73747.045652173911</v>
      </c>
      <c r="P469" s="41"/>
      <c r="Q469" s="17">
        <f t="shared" si="378"/>
        <v>76018</v>
      </c>
      <c r="R469" s="16"/>
      <c r="S469" s="60">
        <f t="shared" si="379"/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si="380"/>
        <v>1692</v>
      </c>
      <c r="AA469" s="33">
        <f t="shared" si="381"/>
        <v>603337</v>
      </c>
      <c r="AB469" s="33"/>
      <c r="AC469" s="46">
        <f t="shared" si="382"/>
        <v>1.7785148710894566E-2</v>
      </c>
      <c r="AD469" s="33"/>
      <c r="AE469" s="33">
        <f t="shared" si="383"/>
        <v>1311.6021739130435</v>
      </c>
      <c r="AF469" s="50"/>
      <c r="AG469" s="33">
        <f t="shared" si="384"/>
        <v>2126</v>
      </c>
      <c r="AH469" s="33">
        <f>SUM(D440:D1212)</f>
        <v>827772732.06091404</v>
      </c>
      <c r="AI469" s="213">
        <f t="shared" si="385"/>
        <v>-0.10181664554288128</v>
      </c>
      <c r="AJ469" s="50"/>
      <c r="AK469" s="111"/>
      <c r="AL469" s="23">
        <f t="shared" si="386"/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si="387"/>
        <v>1.0292739615742352E-3</v>
      </c>
      <c r="AS469" s="25"/>
      <c r="AT469" s="25"/>
      <c r="AU469" s="24"/>
      <c r="AV469" s="298">
        <f t="shared" si="388"/>
        <v>0.84960735788944353</v>
      </c>
      <c r="AW469" s="298"/>
      <c r="AX469" s="24">
        <f t="shared" si="389"/>
        <v>62656.032608695656</v>
      </c>
      <c r="AY469" s="308"/>
      <c r="AZ469" s="111"/>
      <c r="BA469" s="65">
        <f t="shared" si="390"/>
        <v>481846</v>
      </c>
      <c r="BB469" s="66"/>
      <c r="BC469" s="66">
        <v>500790852</v>
      </c>
      <c r="BD469" s="66"/>
      <c r="BE469" s="66">
        <f t="shared" si="391"/>
        <v>12874</v>
      </c>
      <c r="BF469" s="66"/>
      <c r="BG469" s="144">
        <f t="shared" si="392"/>
        <v>2.6718080050472558E-2</v>
      </c>
      <c r="BH469" s="66"/>
      <c r="BI469" s="170"/>
      <c r="BJ469" s="66"/>
      <c r="BK469" s="66">
        <f t="shared" si="393"/>
        <v>4773447</v>
      </c>
      <c r="BL469" s="66"/>
      <c r="BM469" s="144">
        <f t="shared" si="394"/>
        <v>1.5925179435322106E-2</v>
      </c>
      <c r="BN469" s="65">
        <f t="shared" si="395"/>
        <v>1088675.7652173913</v>
      </c>
      <c r="BO469" s="66"/>
      <c r="BP469" s="66">
        <f t="shared" si="396"/>
        <v>33016663</v>
      </c>
      <c r="BQ469" s="66"/>
      <c r="BR469" s="435">
        <f t="shared" si="397"/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75" x14ac:dyDescent="0.3">
      <c r="B470" s="158">
        <f t="shared" si="398"/>
        <v>44370</v>
      </c>
      <c r="C470" s="61"/>
      <c r="D470" s="17">
        <v>13365</v>
      </c>
      <c r="E470" s="16"/>
      <c r="F470" s="16"/>
      <c r="G470" s="16"/>
      <c r="H470" s="16">
        <f t="shared" si="374"/>
        <v>33937006</v>
      </c>
      <c r="I470" s="16"/>
      <c r="J470" s="436">
        <f t="shared" si="375"/>
        <v>3.9397304080655729E-4</v>
      </c>
      <c r="K470" s="16"/>
      <c r="L470" s="16"/>
      <c r="M470" s="16"/>
      <c r="N470" s="16">
        <f t="shared" si="376"/>
        <v>75320</v>
      </c>
      <c r="O470" s="16">
        <f t="shared" si="377"/>
        <v>73616.065075921913</v>
      </c>
      <c r="P470" s="41"/>
      <c r="Q470" s="17">
        <f t="shared" si="378"/>
        <v>75320</v>
      </c>
      <c r="R470" s="16"/>
      <c r="S470" s="60">
        <f t="shared" si="379"/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si="380"/>
        <v>1646</v>
      </c>
      <c r="AA470" s="33">
        <f t="shared" si="381"/>
        <v>603666</v>
      </c>
      <c r="AB470" s="33"/>
      <c r="AC470" s="46">
        <f t="shared" si="382"/>
        <v>1.7787839033295984E-2</v>
      </c>
      <c r="AD470" s="33"/>
      <c r="AE470" s="33">
        <f t="shared" si="383"/>
        <v>1309.4707158351409</v>
      </c>
      <c r="AF470" s="50"/>
      <c r="AG470" s="33">
        <f t="shared" si="384"/>
        <v>2021</v>
      </c>
      <c r="AH470" s="33">
        <f>SUM(D441:D1213)</f>
        <v>827752366.06091404</v>
      </c>
      <c r="AI470" s="213">
        <f t="shared" si="385"/>
        <v>-0.13963388676032354</v>
      </c>
      <c r="AJ470" s="50"/>
      <c r="AK470" s="111"/>
      <c r="AL470" s="23">
        <f t="shared" si="386"/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si="387"/>
        <v>1.0216927999750188E-3</v>
      </c>
      <c r="AS470" s="25"/>
      <c r="AT470" s="25"/>
      <c r="AU470" s="24"/>
      <c r="AV470" s="298">
        <f t="shared" si="388"/>
        <v>0.85014046318641068</v>
      </c>
      <c r="AW470" s="298"/>
      <c r="AX470" s="24">
        <f t="shared" si="389"/>
        <v>62583.995661605208</v>
      </c>
      <c r="AY470" s="308"/>
      <c r="AZ470" s="111"/>
      <c r="BA470" s="65">
        <f t="shared" si="390"/>
        <v>889271</v>
      </c>
      <c r="BB470" s="66"/>
      <c r="BC470" s="66">
        <f>502180123-500000</f>
        <v>501680123</v>
      </c>
      <c r="BD470" s="66"/>
      <c r="BE470" s="66">
        <f t="shared" si="391"/>
        <v>13365</v>
      </c>
      <c r="BF470" s="66"/>
      <c r="BG470" s="144">
        <f t="shared" si="392"/>
        <v>1.5029164337980211E-2</v>
      </c>
      <c r="BH470" s="66"/>
      <c r="BI470" s="170"/>
      <c r="BJ470" s="66"/>
      <c r="BK470" s="66">
        <f t="shared" si="393"/>
        <v>5054890</v>
      </c>
      <c r="BL470" s="66"/>
      <c r="BM470" s="144">
        <f t="shared" si="394"/>
        <v>1.4900423154608705E-2</v>
      </c>
      <c r="BN470" s="65">
        <f t="shared" si="395"/>
        <v>1088243.2169197397</v>
      </c>
      <c r="BO470" s="66"/>
      <c r="BP470" s="66">
        <f t="shared" si="396"/>
        <v>33030028</v>
      </c>
      <c r="BQ470" s="66"/>
      <c r="BR470" s="435">
        <f t="shared" si="397"/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75" x14ac:dyDescent="0.3">
      <c r="B471" s="158">
        <f t="shared" si="398"/>
        <v>44371</v>
      </c>
      <c r="C471" s="61"/>
      <c r="D471" s="17">
        <v>15460</v>
      </c>
      <c r="E471" s="16"/>
      <c r="F471" s="16"/>
      <c r="G471" s="16"/>
      <c r="H471" s="16">
        <f t="shared" si="374"/>
        <v>33952466</v>
      </c>
      <c r="I471" s="16"/>
      <c r="J471" s="436">
        <f t="shared" si="375"/>
        <v>4.555499091463755E-4</v>
      </c>
      <c r="K471" s="16"/>
      <c r="L471" s="16"/>
      <c r="M471" s="16"/>
      <c r="N471" s="16">
        <f t="shared" si="376"/>
        <v>77047</v>
      </c>
      <c r="O471" s="16">
        <f t="shared" si="377"/>
        <v>73490.186147186148</v>
      </c>
      <c r="P471" s="41"/>
      <c r="Q471" s="17">
        <f t="shared" si="378"/>
        <v>77047</v>
      </c>
      <c r="R471" s="16"/>
      <c r="S471" s="60">
        <f t="shared" si="379"/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si="380"/>
        <v>1633</v>
      </c>
      <c r="AA471" s="33">
        <f t="shared" si="381"/>
        <v>604046</v>
      </c>
      <c r="AB471" s="33"/>
      <c r="AC471" s="46">
        <f t="shared" si="382"/>
        <v>1.7790931592421004E-2</v>
      </c>
      <c r="AD471" s="33"/>
      <c r="AE471" s="33">
        <f t="shared" si="383"/>
        <v>1307.4588744588746</v>
      </c>
      <c r="AF471" s="50"/>
      <c r="AG471" s="33">
        <f t="shared" si="384"/>
        <v>2026</v>
      </c>
      <c r="AH471" s="33">
        <f>SUM(D442:D1214)</f>
        <v>827729628.06091404</v>
      </c>
      <c r="AI471" s="213">
        <f t="shared" si="385"/>
        <v>-9.6745430227374057E-2</v>
      </c>
      <c r="AJ471" s="50"/>
      <c r="AK471" s="111" t="s">
        <v>26</v>
      </c>
      <c r="AL471" s="23">
        <f t="shared" si="386"/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si="387"/>
        <v>8.0807669082439554E-4</v>
      </c>
      <c r="AS471" s="25"/>
      <c r="AT471" s="25"/>
      <c r="AU471" s="24"/>
      <c r="AV471" s="298">
        <f t="shared" si="388"/>
        <v>0.85044002400296936</v>
      </c>
      <c r="AW471" s="298"/>
      <c r="AX471" s="24">
        <f t="shared" si="389"/>
        <v>62498.995670995668</v>
      </c>
      <c r="AY471" s="308"/>
      <c r="AZ471" s="111" t="s">
        <v>26</v>
      </c>
      <c r="BA471" s="65">
        <f t="shared" si="390"/>
        <v>500000</v>
      </c>
      <c r="BB471" s="66"/>
      <c r="BC471" s="66">
        <v>502180123</v>
      </c>
      <c r="BD471" s="66"/>
      <c r="BE471" s="66">
        <f t="shared" si="391"/>
        <v>15460</v>
      </c>
      <c r="BF471" s="66"/>
      <c r="BG471" s="144">
        <f t="shared" si="392"/>
        <v>3.092E-2</v>
      </c>
      <c r="BH471" s="66"/>
      <c r="BI471" s="170"/>
      <c r="BJ471" s="66"/>
      <c r="BK471" s="66">
        <f t="shared" si="393"/>
        <v>4770412</v>
      </c>
      <c r="BL471" s="66"/>
      <c r="BM471" s="144">
        <f t="shared" si="394"/>
        <v>1.6151015887097383E-2</v>
      </c>
      <c r="BN471" s="65">
        <f t="shared" si="395"/>
        <v>1086969.9632034632</v>
      </c>
      <c r="BO471" s="66"/>
      <c r="BP471" s="66">
        <f t="shared" si="396"/>
        <v>33045488</v>
      </c>
      <c r="BQ471" s="66"/>
      <c r="BR471" s="435">
        <f t="shared" si="397"/>
        <v>6.580405413616898E-2</v>
      </c>
      <c r="BS471" s="66"/>
      <c r="BT471" s="75"/>
      <c r="BU471" s="170"/>
      <c r="BV471" s="1"/>
      <c r="BW471" s="61">
        <f t="shared" ref="BW471:BW725" si="399">+BW470+1</f>
        <v>462</v>
      </c>
    </row>
    <row r="472" spans="2:75" x14ac:dyDescent="0.3">
      <c r="B472" s="158">
        <f t="shared" si="398"/>
        <v>44372</v>
      </c>
      <c r="C472" s="61"/>
      <c r="D472" s="17">
        <v>15537</v>
      </c>
      <c r="E472" s="16"/>
      <c r="F472" s="16"/>
      <c r="G472" s="16"/>
      <c r="H472" s="16">
        <f t="shared" ref="H472:H503" si="400">+H471+D472</f>
        <v>33968003</v>
      </c>
      <c r="I472" s="16"/>
      <c r="J472" s="436">
        <f t="shared" ref="J472:J503" si="401">+D472/H471</f>
        <v>4.5761035442904206E-4</v>
      </c>
      <c r="K472" s="16"/>
      <c r="L472" s="16"/>
      <c r="M472" s="16"/>
      <c r="N472" s="16">
        <f t="shared" ref="N472:N503" si="402">SUM(D466:D472)</f>
        <v>79195</v>
      </c>
      <c r="O472" s="16">
        <f t="shared" ref="O472:O503" si="403">+H472/BW472</f>
        <v>73365.017278617714</v>
      </c>
      <c r="P472" s="41"/>
      <c r="Q472" s="17">
        <f t="shared" ref="Q472:Q503" si="404">SUM(D466:D472)</f>
        <v>79195</v>
      </c>
      <c r="R472" s="16"/>
      <c r="S472" s="60">
        <f t="shared" ref="S472:S503" si="405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:Z503" si="406">SUM(W467:W472)</f>
        <v>1850</v>
      </c>
      <c r="AA472" s="33">
        <f t="shared" ref="AA472:AA503" si="407">+AA471+W472</f>
        <v>604433</v>
      </c>
      <c r="AB472" s="33"/>
      <c r="AC472" s="46">
        <f t="shared" ref="AC472:AC503" si="408">+AA472/H472</f>
        <v>1.7794187076584984E-2</v>
      </c>
      <c r="AD472" s="33"/>
      <c r="AE472" s="33">
        <f t="shared" ref="AE472:AE503" si="409">+AA472/BW472</f>
        <v>1305.4708423326133</v>
      </c>
      <c r="AF472" s="50"/>
      <c r="AG472" s="33">
        <f t="shared" ref="AG472:AG503" si="410">SUM(W466:W472)</f>
        <v>2020</v>
      </c>
      <c r="AH472" s="33">
        <f>SUM(D443:D1215)</f>
        <v>827706128.06091404</v>
      </c>
      <c r="AI472" s="213">
        <f t="shared" ref="AI472:AI503" si="411">+(AG472-AG465)/AG465</f>
        <v>-8.8036117381489837E-2</v>
      </c>
      <c r="AJ472" s="50"/>
      <c r="AK472" s="111"/>
      <c r="AL472" s="23">
        <f t="shared" ref="AL472:AL503" si="412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:AR503" si="413">+AL472/AP471</f>
        <v>7.9391751957503317E-4</v>
      </c>
      <c r="AS472" s="25"/>
      <c r="AT472" s="25"/>
      <c r="AU472" s="24"/>
      <c r="AV472" s="298">
        <f t="shared" ref="AV472:AV503" si="414">+AP472/H472</f>
        <v>0.85072590225571987</v>
      </c>
      <c r="AW472" s="298"/>
      <c r="AX472" s="24">
        <f t="shared" ref="AX472:AX503" si="415">+AP472/BW472</f>
        <v>62413.520518358535</v>
      </c>
      <c r="AY472" s="308"/>
      <c r="AZ472" s="111"/>
      <c r="BA472" s="65">
        <f t="shared" ref="BA472:BA503" si="416">+BC472-BC471</f>
        <v>826269</v>
      </c>
      <c r="BB472" s="66"/>
      <c r="BC472" s="66">
        <v>503006392</v>
      </c>
      <c r="BD472" s="66"/>
      <c r="BE472" s="66">
        <f t="shared" ref="BE472:BE503" si="417">+D472</f>
        <v>15537</v>
      </c>
      <c r="BF472" s="66"/>
      <c r="BG472" s="144">
        <f t="shared" ref="BG472:BG503" si="418">+BE472/BA472</f>
        <v>1.8803803603911075E-2</v>
      </c>
      <c r="BH472" s="66"/>
      <c r="BI472" s="170"/>
      <c r="BJ472" s="66"/>
      <c r="BK472" s="66">
        <f t="shared" ref="BK472:BK503" si="419">SUM(BA466:BA472)</f>
        <v>4776317</v>
      </c>
      <c r="BL472" s="66"/>
      <c r="BM472" s="144">
        <f t="shared" ref="BM472:BM503" si="420">+Q472/BK472</f>
        <v>1.6580767147574168E-2</v>
      </c>
      <c r="BN472" s="65">
        <f t="shared" ref="BN472:BN503" si="421">+BC472/BW472</f>
        <v>1086406.8941684666</v>
      </c>
      <c r="BO472" s="66"/>
      <c r="BP472" s="66">
        <f t="shared" ref="BP472:BP503" si="422">+BP471+BE472</f>
        <v>33061025</v>
      </c>
      <c r="BQ472" s="66"/>
      <c r="BR472" s="435">
        <f t="shared" ref="BR472:BR503" si="423">+BP472/BC472</f>
        <v>6.5726848656030595E-2</v>
      </c>
      <c r="BS472" s="66"/>
      <c r="BT472" s="75"/>
      <c r="BU472" s="170"/>
      <c r="BV472" s="1"/>
      <c r="BW472" s="61">
        <f t="shared" si="399"/>
        <v>463</v>
      </c>
    </row>
    <row r="473" spans="2:75" x14ac:dyDescent="0.3">
      <c r="B473" s="158">
        <f t="shared" si="398"/>
        <v>44373</v>
      </c>
      <c r="C473" s="61"/>
      <c r="D473" s="17">
        <v>6586</v>
      </c>
      <c r="E473" s="16"/>
      <c r="F473" s="16"/>
      <c r="G473" s="16"/>
      <c r="H473" s="16">
        <f t="shared" si="400"/>
        <v>33974589</v>
      </c>
      <c r="I473" s="16"/>
      <c r="J473" s="436">
        <f t="shared" si="401"/>
        <v>1.9388834839657781E-4</v>
      </c>
      <c r="K473" s="16"/>
      <c r="L473" s="16"/>
      <c r="M473" s="16"/>
      <c r="N473" s="16">
        <f t="shared" si="402"/>
        <v>77999</v>
      </c>
      <c r="O473" s="16">
        <f t="shared" si="403"/>
        <v>73221.096982758623</v>
      </c>
      <c r="P473" s="41"/>
      <c r="Q473" s="17">
        <f t="shared" si="404"/>
        <v>77999</v>
      </c>
      <c r="R473" s="16"/>
      <c r="S473" s="60">
        <f t="shared" si="405"/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si="406"/>
        <v>1913</v>
      </c>
      <c r="AA473" s="33">
        <f t="shared" si="407"/>
        <v>604582</v>
      </c>
      <c r="AB473" s="33"/>
      <c r="AC473" s="46">
        <f t="shared" si="408"/>
        <v>1.7795123290527518E-2</v>
      </c>
      <c r="AD473" s="33"/>
      <c r="AE473" s="33">
        <f t="shared" si="409"/>
        <v>1302.9784482758621</v>
      </c>
      <c r="AF473" s="50"/>
      <c r="AG473" s="33">
        <f t="shared" si="410"/>
        <v>1999</v>
      </c>
      <c r="AH473" s="33">
        <f>SUM(D444:D1216)</f>
        <v>827681735.06091404</v>
      </c>
      <c r="AI473" s="213">
        <f t="shared" si="411"/>
        <v>-3.7554164660568129E-2</v>
      </c>
      <c r="AJ473" s="50"/>
      <c r="AK473" s="111"/>
      <c r="AL473" s="23">
        <f t="shared" si="412"/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si="413"/>
        <v>5.3451064557230978E-4</v>
      </c>
      <c r="AS473" s="25"/>
      <c r="AT473" s="25"/>
      <c r="AU473" s="24"/>
      <c r="AV473" s="298">
        <f t="shared" si="414"/>
        <v>0.85101562229347349</v>
      </c>
      <c r="AW473" s="298"/>
      <c r="AX473" s="24">
        <f t="shared" si="415"/>
        <v>62312.297413793101</v>
      </c>
      <c r="AY473" s="308"/>
      <c r="AZ473" s="111"/>
      <c r="BA473" s="65">
        <f t="shared" si="416"/>
        <v>451282</v>
      </c>
      <c r="BB473" s="66"/>
      <c r="BC473" s="66">
        <v>503457674</v>
      </c>
      <c r="BD473" s="66"/>
      <c r="BE473" s="66">
        <f t="shared" si="417"/>
        <v>6586</v>
      </c>
      <c r="BF473" s="66"/>
      <c r="BG473" s="144">
        <f t="shared" si="418"/>
        <v>1.4593978931133969E-2</v>
      </c>
      <c r="BH473" s="66"/>
      <c r="BI473" s="170"/>
      <c r="BJ473" s="66"/>
      <c r="BK473" s="66">
        <f t="shared" si="419"/>
        <v>4768463</v>
      </c>
      <c r="BL473" s="66"/>
      <c r="BM473" s="144">
        <f t="shared" si="420"/>
        <v>1.6357262287659567E-2</v>
      </c>
      <c r="BN473" s="65">
        <f t="shared" si="421"/>
        <v>1085038.0905172413</v>
      </c>
      <c r="BO473" s="66"/>
      <c r="BP473" s="66">
        <f t="shared" si="422"/>
        <v>33067611</v>
      </c>
      <c r="BQ473" s="66"/>
      <c r="BR473" s="435">
        <f t="shared" si="423"/>
        <v>6.56810149248018E-2</v>
      </c>
      <c r="BS473" s="66"/>
      <c r="BT473" s="75"/>
      <c r="BU473" s="170"/>
      <c r="BV473" s="1"/>
      <c r="BW473" s="61">
        <f t="shared" si="399"/>
        <v>464</v>
      </c>
    </row>
    <row r="474" spans="2:75" x14ac:dyDescent="0.3">
      <c r="B474" s="347">
        <f t="shared" si="398"/>
        <v>44374</v>
      </c>
      <c r="C474" s="61"/>
      <c r="D474" s="17">
        <v>7306</v>
      </c>
      <c r="E474" s="16"/>
      <c r="F474" s="16"/>
      <c r="G474" s="16"/>
      <c r="H474" s="16">
        <f t="shared" si="400"/>
        <v>33981895</v>
      </c>
      <c r="I474" s="16"/>
      <c r="J474" s="436">
        <f t="shared" si="401"/>
        <v>2.1504307233856458E-4</v>
      </c>
      <c r="K474" s="16"/>
      <c r="L474" s="16"/>
      <c r="M474" s="16"/>
      <c r="N474" s="16">
        <f t="shared" si="402"/>
        <v>80883</v>
      </c>
      <c r="O474" s="16">
        <f t="shared" si="403"/>
        <v>73079.344086021505</v>
      </c>
      <c r="P474" s="41"/>
      <c r="Q474" s="17">
        <f t="shared" si="404"/>
        <v>80883</v>
      </c>
      <c r="R474" s="16"/>
      <c r="S474" s="60">
        <f t="shared" si="405"/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si="406"/>
        <v>1782</v>
      </c>
      <c r="AA474" s="33">
        <f t="shared" si="407"/>
        <v>604688</v>
      </c>
      <c r="AB474" s="33"/>
      <c r="AC474" s="46">
        <f t="shared" si="408"/>
        <v>1.779441670336513E-2</v>
      </c>
      <c r="AD474" s="33"/>
      <c r="AE474" s="33">
        <f t="shared" si="409"/>
        <v>1300.4043010752689</v>
      </c>
      <c r="AF474" s="50"/>
      <c r="AG474" s="33">
        <f t="shared" si="410"/>
        <v>2019</v>
      </c>
      <c r="AH474" s="33">
        <f>SUM(D445:D1217)</f>
        <v>827658922.06091404</v>
      </c>
      <c r="AI474" s="213">
        <f t="shared" si="411"/>
        <v>-2.1328162869607366E-2</v>
      </c>
      <c r="AJ474" s="50"/>
      <c r="AK474" s="111"/>
      <c r="AL474" s="23">
        <f t="shared" si="412"/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si="413"/>
        <v>5.6037258932049242E-4</v>
      </c>
      <c r="AS474" s="25"/>
      <c r="AT474" s="25"/>
      <c r="AU474" s="24"/>
      <c r="AV474" s="298">
        <f t="shared" si="414"/>
        <v>0.85130943992381825</v>
      </c>
      <c r="AW474" s="298"/>
      <c r="AX474" s="24">
        <f t="shared" si="415"/>
        <v>62213.135483870967</v>
      </c>
      <c r="AY474" s="308"/>
      <c r="AZ474" s="111"/>
      <c r="BA474" s="65">
        <f t="shared" si="416"/>
        <v>366543</v>
      </c>
      <c r="BB474" s="66"/>
      <c r="BC474" s="66">
        <v>503824217</v>
      </c>
      <c r="BD474" s="66"/>
      <c r="BE474" s="66">
        <f t="shared" si="417"/>
        <v>7306</v>
      </c>
      <c r="BF474" s="66"/>
      <c r="BG474" s="144">
        <f t="shared" si="418"/>
        <v>1.9932177125194041E-2</v>
      </c>
      <c r="BH474" s="66"/>
      <c r="BI474" s="170"/>
      <c r="BJ474" s="66"/>
      <c r="BK474" s="66">
        <f t="shared" si="419"/>
        <v>4762492</v>
      </c>
      <c r="BL474" s="66"/>
      <c r="BM474" s="144">
        <f t="shared" si="420"/>
        <v>1.6983335615051953E-2</v>
      </c>
      <c r="BN474" s="65">
        <f t="shared" si="421"/>
        <v>1083492.9397849462</v>
      </c>
      <c r="BO474" s="66"/>
      <c r="BP474" s="66">
        <f t="shared" si="422"/>
        <v>33074917</v>
      </c>
      <c r="BQ474" s="66"/>
      <c r="BR474" s="435">
        <f t="shared" si="423"/>
        <v>6.5647731657170416E-2</v>
      </c>
      <c r="BS474" s="66"/>
      <c r="BT474" s="75"/>
      <c r="BU474" s="170"/>
      <c r="BV474" s="1"/>
      <c r="BW474" s="61">
        <f t="shared" si="399"/>
        <v>465</v>
      </c>
    </row>
    <row r="475" spans="2:75" x14ac:dyDescent="0.3">
      <c r="B475" s="158">
        <f t="shared" si="398"/>
        <v>44375</v>
      </c>
      <c r="C475" s="61"/>
      <c r="D475" s="17">
        <v>11982</v>
      </c>
      <c r="E475" s="16"/>
      <c r="F475" s="16"/>
      <c r="G475" s="16"/>
      <c r="H475" s="16">
        <f t="shared" si="400"/>
        <v>33993877</v>
      </c>
      <c r="I475" s="16"/>
      <c r="J475" s="436">
        <f t="shared" si="401"/>
        <v>3.52599523952387E-4</v>
      </c>
      <c r="K475" s="16"/>
      <c r="L475" s="16"/>
      <c r="M475" s="16"/>
      <c r="N475" s="16">
        <f t="shared" si="402"/>
        <v>83110</v>
      </c>
      <c r="O475" s="16">
        <f t="shared" si="403"/>
        <v>72948.2339055794</v>
      </c>
      <c r="P475" s="41"/>
      <c r="Q475" s="17">
        <f t="shared" si="404"/>
        <v>83110</v>
      </c>
      <c r="R475" s="16"/>
      <c r="S475" s="60">
        <f t="shared" si="405"/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si="406"/>
        <v>1515</v>
      </c>
      <c r="AA475" s="33">
        <f t="shared" si="407"/>
        <v>604852</v>
      </c>
      <c r="AB475" s="33"/>
      <c r="AC475" s="46">
        <f t="shared" si="408"/>
        <v>1.7792969010272056E-2</v>
      </c>
      <c r="AD475" s="33"/>
      <c r="AE475" s="33">
        <f t="shared" si="409"/>
        <v>1297.9656652360516</v>
      </c>
      <c r="AF475" s="50"/>
      <c r="AG475" s="33">
        <f t="shared" si="410"/>
        <v>1946</v>
      </c>
      <c r="AH475" s="33">
        <f>SUM(D446:D1218)</f>
        <v>827646261.06091404</v>
      </c>
      <c r="AI475" s="213">
        <f t="shared" si="411"/>
        <v>-4.98046875E-2</v>
      </c>
      <c r="AJ475" s="50"/>
      <c r="AK475" s="111"/>
      <c r="AL475" s="23">
        <f t="shared" si="412"/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si="413"/>
        <v>1.7197903232965221E-3</v>
      </c>
      <c r="AS475" s="25"/>
      <c r="AT475" s="25"/>
      <c r="AU475" s="24"/>
      <c r="AV475" s="298">
        <f t="shared" si="414"/>
        <v>0.85247293211068564</v>
      </c>
      <c r="AW475" s="298"/>
      <c r="AX475" s="24">
        <f t="shared" si="415"/>
        <v>62186.394849785407</v>
      </c>
      <c r="AY475" s="308"/>
      <c r="AZ475" s="111"/>
      <c r="BA475" s="65">
        <f t="shared" si="416"/>
        <v>1053856</v>
      </c>
      <c r="BB475" s="66"/>
      <c r="BC475" s="66">
        <v>504878073</v>
      </c>
      <c r="BD475" s="66"/>
      <c r="BE475" s="66">
        <f t="shared" si="417"/>
        <v>11982</v>
      </c>
      <c r="BF475" s="66"/>
      <c r="BG475" s="144">
        <f t="shared" si="418"/>
        <v>1.1369674794279295E-2</v>
      </c>
      <c r="BH475" s="66"/>
      <c r="BI475" s="170"/>
      <c r="BJ475" s="66"/>
      <c r="BK475" s="66">
        <f t="shared" si="419"/>
        <v>4569067</v>
      </c>
      <c r="BL475" s="66"/>
      <c r="BM475" s="144">
        <f t="shared" si="420"/>
        <v>1.8189709190081914E-2</v>
      </c>
      <c r="BN475" s="65">
        <f t="shared" si="421"/>
        <v>1083429.3412017168</v>
      </c>
      <c r="BO475" s="66"/>
      <c r="BP475" s="66">
        <f t="shared" si="422"/>
        <v>33086899</v>
      </c>
      <c r="BQ475" s="66"/>
      <c r="BR475" s="435">
        <f t="shared" si="423"/>
        <v>6.5534434489096932E-2</v>
      </c>
      <c r="BS475" s="66"/>
      <c r="BT475" s="75"/>
      <c r="BU475" s="170"/>
      <c r="BV475" s="1"/>
      <c r="BW475" s="61">
        <f t="shared" si="399"/>
        <v>466</v>
      </c>
    </row>
    <row r="476" spans="2:75" x14ac:dyDescent="0.3">
      <c r="B476" s="158">
        <f t="shared" si="398"/>
        <v>44376</v>
      </c>
      <c r="C476" s="61"/>
      <c r="D476" s="17">
        <v>11427</v>
      </c>
      <c r="E476" s="16"/>
      <c r="F476" s="16"/>
      <c r="G476" s="16"/>
      <c r="H476" s="16">
        <f t="shared" si="400"/>
        <v>34005304</v>
      </c>
      <c r="I476" s="16"/>
      <c r="J476" s="436">
        <f t="shared" si="401"/>
        <v>3.3614877173321534E-4</v>
      </c>
      <c r="K476" s="16"/>
      <c r="L476" s="16"/>
      <c r="M476" s="16"/>
      <c r="N476" s="16">
        <f t="shared" si="402"/>
        <v>81663</v>
      </c>
      <c r="O476" s="16">
        <f t="shared" si="403"/>
        <v>72816.496788008561</v>
      </c>
      <c r="P476" s="41"/>
      <c r="Q476" s="17">
        <f t="shared" si="404"/>
        <v>81663</v>
      </c>
      <c r="R476" s="16"/>
      <c r="S476" s="60">
        <f t="shared" si="405"/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si="406"/>
        <v>1480</v>
      </c>
      <c r="AA476" s="33">
        <f t="shared" si="407"/>
        <v>605146</v>
      </c>
      <c r="AB476" s="33"/>
      <c r="AC476" s="46">
        <f t="shared" si="408"/>
        <v>1.7795635645545177E-2</v>
      </c>
      <c r="AD476" s="33"/>
      <c r="AE476" s="33">
        <f t="shared" si="409"/>
        <v>1295.8158458244111</v>
      </c>
      <c r="AF476" s="50"/>
      <c r="AG476" s="33">
        <f t="shared" si="410"/>
        <v>1809</v>
      </c>
      <c r="AH476" s="33">
        <f>SUM(D447:D1219)</f>
        <v>827638511.06091404</v>
      </c>
      <c r="AI476" s="213">
        <f t="shared" si="411"/>
        <v>-0.14910630291627469</v>
      </c>
      <c r="AJ476" s="50"/>
      <c r="AK476" s="111"/>
      <c r="AL476" s="23">
        <f t="shared" si="412"/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si="413"/>
        <v>9.8392414332378834E-4</v>
      </c>
      <c r="AS476" s="25"/>
      <c r="AT476" s="25"/>
      <c r="AU476" s="24"/>
      <c r="AV476" s="298">
        <f t="shared" si="414"/>
        <v>0.8530249575183918</v>
      </c>
      <c r="AW476" s="298"/>
      <c r="AX476" s="24">
        <f t="shared" si="415"/>
        <v>62114.289079229122</v>
      </c>
      <c r="AY476" s="308"/>
      <c r="AZ476" s="111"/>
      <c r="BA476" s="65">
        <f t="shared" si="416"/>
        <v>514526</v>
      </c>
      <c r="BB476" s="66"/>
      <c r="BC476" s="66">
        <v>505392599</v>
      </c>
      <c r="BD476" s="66"/>
      <c r="BE476" s="66">
        <f t="shared" si="417"/>
        <v>11427</v>
      </c>
      <c r="BF476" s="66"/>
      <c r="BG476" s="144">
        <f t="shared" si="418"/>
        <v>2.2208790226344248E-2</v>
      </c>
      <c r="BH476" s="66"/>
      <c r="BI476" s="170"/>
      <c r="BJ476" s="66"/>
      <c r="BK476" s="66">
        <f t="shared" si="419"/>
        <v>4601747</v>
      </c>
      <c r="BL476" s="66"/>
      <c r="BM476" s="144">
        <f t="shared" si="420"/>
        <v>1.7746086431957256E-2</v>
      </c>
      <c r="BN476" s="65">
        <f t="shared" si="421"/>
        <v>1082211.1327623127</v>
      </c>
      <c r="BO476" s="66"/>
      <c r="BP476" s="66">
        <f t="shared" si="422"/>
        <v>33098326</v>
      </c>
      <c r="BQ476" s="66"/>
      <c r="BR476" s="435">
        <f t="shared" si="423"/>
        <v>6.5490325868424515E-2</v>
      </c>
      <c r="BS476" s="66"/>
      <c r="BT476" s="75"/>
      <c r="BU476" s="170"/>
      <c r="BV476" s="1"/>
      <c r="BW476" s="61">
        <f t="shared" si="399"/>
        <v>467</v>
      </c>
    </row>
    <row r="477" spans="2:75" x14ac:dyDescent="0.3">
      <c r="B477" s="158">
        <f t="shared" si="398"/>
        <v>44377</v>
      </c>
      <c r="C477" s="61"/>
      <c r="D477" s="17">
        <v>14197</v>
      </c>
      <c r="E477" s="16"/>
      <c r="F477" s="16"/>
      <c r="G477" s="16"/>
      <c r="H477" s="16">
        <f t="shared" si="400"/>
        <v>34019501</v>
      </c>
      <c r="I477" s="16"/>
      <c r="J477" s="436">
        <f t="shared" si="401"/>
        <v>4.1749369451306772E-4</v>
      </c>
      <c r="K477" s="16"/>
      <c r="L477" s="16"/>
      <c r="M477" s="16"/>
      <c r="N477" s="16">
        <f t="shared" si="402"/>
        <v>82495</v>
      </c>
      <c r="O477" s="16">
        <f t="shared" si="403"/>
        <v>72691.241452991453</v>
      </c>
      <c r="P477" s="41"/>
      <c r="Q477" s="17">
        <f t="shared" si="404"/>
        <v>82495</v>
      </c>
      <c r="R477" s="16"/>
      <c r="S477" s="60">
        <f t="shared" si="405"/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si="406"/>
        <v>1349</v>
      </c>
      <c r="AA477" s="33">
        <f t="shared" si="407"/>
        <v>605395</v>
      </c>
      <c r="AB477" s="33"/>
      <c r="AC477" s="46">
        <f t="shared" si="408"/>
        <v>1.7795528511720379E-2</v>
      </c>
      <c r="AD477" s="33"/>
      <c r="AE477" s="33">
        <f t="shared" si="409"/>
        <v>1293.5790598290598</v>
      </c>
      <c r="AF477" s="50"/>
      <c r="AG477" s="33">
        <f t="shared" si="410"/>
        <v>1729</v>
      </c>
      <c r="AH477" s="33">
        <f>SUM(D448:D1220)</f>
        <v>827633276.06091404</v>
      </c>
      <c r="AI477" s="213">
        <f t="shared" si="411"/>
        <v>-0.14448292924294903</v>
      </c>
      <c r="AJ477" s="50"/>
      <c r="AK477" s="111"/>
      <c r="AL477" s="23">
        <f t="shared" si="412"/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si="413"/>
        <v>6.6586519227370224E-4</v>
      </c>
      <c r="AS477" s="25"/>
      <c r="AT477" s="25"/>
      <c r="AU477" s="24"/>
      <c r="AV477" s="298">
        <f t="shared" si="414"/>
        <v>0.85323673618845852</v>
      </c>
      <c r="AW477" s="298"/>
      <c r="AX477" s="24">
        <f t="shared" si="415"/>
        <v>62022.837606837609</v>
      </c>
      <c r="AY477" s="308"/>
      <c r="AZ477" s="111"/>
      <c r="BA477" s="65">
        <f t="shared" si="416"/>
        <v>766529</v>
      </c>
      <c r="BB477" s="66"/>
      <c r="BC477" s="66">
        <v>506159128</v>
      </c>
      <c r="BD477" s="66"/>
      <c r="BE477" s="66">
        <f t="shared" si="417"/>
        <v>14197</v>
      </c>
      <c r="BF477" s="66"/>
      <c r="BG477" s="144">
        <f t="shared" si="418"/>
        <v>1.8521151841613299E-2</v>
      </c>
      <c r="BH477" s="66"/>
      <c r="BI477" s="170"/>
      <c r="BJ477" s="66"/>
      <c r="BK477" s="66">
        <f t="shared" si="419"/>
        <v>4479005</v>
      </c>
      <c r="BL477" s="66"/>
      <c r="BM477" s="144">
        <f t="shared" si="420"/>
        <v>1.8418153138922595E-2</v>
      </c>
      <c r="BN477" s="65">
        <f t="shared" si="421"/>
        <v>1081536.5982905983</v>
      </c>
      <c r="BO477" s="66"/>
      <c r="BP477" s="66">
        <f t="shared" si="422"/>
        <v>33112523</v>
      </c>
      <c r="BQ477" s="66"/>
      <c r="BR477" s="435">
        <f t="shared" si="423"/>
        <v>6.5419195601269492E-2</v>
      </c>
      <c r="BS477" s="66"/>
      <c r="BT477" s="75"/>
      <c r="BU477" s="170"/>
      <c r="BV477" s="1"/>
      <c r="BW477" s="61">
        <f t="shared" si="399"/>
        <v>468</v>
      </c>
    </row>
    <row r="478" spans="2:75" x14ac:dyDescent="0.3">
      <c r="B478" s="158">
        <f t="shared" si="398"/>
        <v>44378</v>
      </c>
      <c r="C478" s="61"/>
      <c r="D478" s="17">
        <v>16949</v>
      </c>
      <c r="E478" s="16"/>
      <c r="F478" s="16"/>
      <c r="G478" s="16"/>
      <c r="H478" s="16">
        <f t="shared" si="400"/>
        <v>34036450</v>
      </c>
      <c r="I478" s="16"/>
      <c r="J478" s="436">
        <f t="shared" si="401"/>
        <v>4.9821424482387328E-4</v>
      </c>
      <c r="K478" s="16"/>
      <c r="L478" s="16"/>
      <c r="M478" s="16"/>
      <c r="N478" s="16">
        <f t="shared" si="402"/>
        <v>83984</v>
      </c>
      <c r="O478" s="16">
        <f t="shared" si="403"/>
        <v>72572.388059701494</v>
      </c>
      <c r="P478" s="41"/>
      <c r="Q478" s="17">
        <f t="shared" si="404"/>
        <v>83984</v>
      </c>
      <c r="R478" s="16"/>
      <c r="S478" s="60">
        <f t="shared" si="405"/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si="406"/>
        <v>1277</v>
      </c>
      <c r="AA478" s="33">
        <f t="shared" si="407"/>
        <v>605710</v>
      </c>
      <c r="AB478" s="33"/>
      <c r="AC478" s="46">
        <f t="shared" si="408"/>
        <v>1.7795921725091778E-2</v>
      </c>
      <c r="AD478" s="33"/>
      <c r="AE478" s="33">
        <f t="shared" si="409"/>
        <v>1291.4925373134329</v>
      </c>
      <c r="AF478" s="50"/>
      <c r="AG478" s="33">
        <f t="shared" si="410"/>
        <v>1664</v>
      </c>
      <c r="AH478" s="33">
        <f>SUM(D449:D1221)</f>
        <v>827620300.06091404</v>
      </c>
      <c r="AI478" s="213">
        <f t="shared" si="411"/>
        <v>-0.17867719644619942</v>
      </c>
      <c r="AJ478" s="50"/>
      <c r="AK478" s="111"/>
      <c r="AL478" s="23">
        <f t="shared" si="412"/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si="413"/>
        <v>8.7502232428308729E-4</v>
      </c>
      <c r="AS478" s="25"/>
      <c r="AT478" s="25"/>
      <c r="AU478" s="24"/>
      <c r="AV478" s="298">
        <f t="shared" si="414"/>
        <v>0.85355808258499344</v>
      </c>
      <c r="AW478" s="298"/>
      <c r="AX478" s="24">
        <f t="shared" si="415"/>
        <v>61944.748400852877</v>
      </c>
      <c r="AY478" s="308"/>
      <c r="AZ478" s="111"/>
      <c r="BA478" s="65">
        <f t="shared" si="416"/>
        <v>445484</v>
      </c>
      <c r="BB478" s="66"/>
      <c r="BC478" s="66">
        <v>506604612</v>
      </c>
      <c r="BD478" s="66"/>
      <c r="BE478" s="66">
        <f t="shared" si="417"/>
        <v>16949</v>
      </c>
      <c r="BF478" s="66"/>
      <c r="BG478" s="144">
        <f t="shared" si="418"/>
        <v>3.8046259798331705E-2</v>
      </c>
      <c r="BH478" s="66"/>
      <c r="BI478" s="170"/>
      <c r="BJ478" s="66"/>
      <c r="BK478" s="66">
        <f t="shared" si="419"/>
        <v>4424489</v>
      </c>
      <c r="BL478" s="66"/>
      <c r="BM478" s="144">
        <f t="shared" si="420"/>
        <v>1.8981627030827741E-2</v>
      </c>
      <c r="BN478" s="65">
        <f t="shared" si="421"/>
        <v>1080180.4093816632</v>
      </c>
      <c r="BO478" s="66"/>
      <c r="BP478" s="66">
        <f t="shared" si="422"/>
        <v>33129472</v>
      </c>
      <c r="BQ478" s="66"/>
      <c r="BR478" s="435">
        <f t="shared" si="423"/>
        <v>6.5395125143471844E-2</v>
      </c>
      <c r="BS478" s="66"/>
      <c r="BT478" s="75"/>
      <c r="BU478" s="170"/>
      <c r="BV478" s="1"/>
      <c r="BW478" s="61">
        <f t="shared" si="399"/>
        <v>469</v>
      </c>
    </row>
    <row r="479" spans="2:75" x14ac:dyDescent="0.3">
      <c r="B479" s="158">
        <f t="shared" si="398"/>
        <v>44379</v>
      </c>
      <c r="C479" s="61"/>
      <c r="D479" s="17">
        <v>18399</v>
      </c>
      <c r="E479" s="16"/>
      <c r="F479" s="16"/>
      <c r="G479" s="16"/>
      <c r="H479" s="16">
        <f t="shared" si="400"/>
        <v>34054849</v>
      </c>
      <c r="I479" s="16"/>
      <c r="J479" s="436">
        <f t="shared" si="401"/>
        <v>5.4056753862403398E-4</v>
      </c>
      <c r="K479" s="16"/>
      <c r="L479" s="16"/>
      <c r="M479" s="16"/>
      <c r="N479" s="16">
        <f t="shared" si="402"/>
        <v>86846</v>
      </c>
      <c r="O479" s="16">
        <f t="shared" si="403"/>
        <v>72457.125531914891</v>
      </c>
      <c r="P479" s="41"/>
      <c r="Q479" s="17">
        <f t="shared" si="404"/>
        <v>86846</v>
      </c>
      <c r="R479" s="16"/>
      <c r="S479" s="60">
        <f t="shared" si="405"/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si="406"/>
        <v>1450</v>
      </c>
      <c r="AA479" s="33">
        <f t="shared" si="407"/>
        <v>606032</v>
      </c>
      <c r="AB479" s="33"/>
      <c r="AC479" s="46">
        <f t="shared" si="408"/>
        <v>1.7795762359715646E-2</v>
      </c>
      <c r="AD479" s="33"/>
      <c r="AE479" s="33">
        <f t="shared" si="409"/>
        <v>1289.4297872340426</v>
      </c>
      <c r="AF479" s="50"/>
      <c r="AG479" s="33">
        <f t="shared" si="410"/>
        <v>1599</v>
      </c>
      <c r="AH479" s="33">
        <f>SUM(D450:D1222)</f>
        <v>827603326.06091404</v>
      </c>
      <c r="AI479" s="213">
        <f t="shared" si="411"/>
        <v>-0.20841584158415841</v>
      </c>
      <c r="AJ479" s="50"/>
      <c r="AK479" s="111"/>
      <c r="AL479" s="23">
        <f t="shared" si="412"/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si="413"/>
        <v>7.1574892364875545E-4</v>
      </c>
      <c r="AS479" s="25"/>
      <c r="AT479" s="25"/>
      <c r="AU479" s="24"/>
      <c r="AV479" s="298">
        <f t="shared" si="414"/>
        <v>0.85370752928606441</v>
      </c>
      <c r="AW479" s="298"/>
      <c r="AX479" s="24">
        <f t="shared" si="415"/>
        <v>61857.193617021279</v>
      </c>
      <c r="AY479" s="308"/>
      <c r="AZ479" s="111"/>
      <c r="BA479" s="65">
        <f t="shared" si="416"/>
        <v>741973</v>
      </c>
      <c r="BB479" s="66"/>
      <c r="BC479" s="66">
        <v>507346585</v>
      </c>
      <c r="BD479" s="66"/>
      <c r="BE479" s="66">
        <f t="shared" si="417"/>
        <v>18399</v>
      </c>
      <c r="BF479" s="66"/>
      <c r="BG479" s="144">
        <f t="shared" si="418"/>
        <v>2.4797398288077869E-2</v>
      </c>
      <c r="BH479" s="66"/>
      <c r="BI479" s="170"/>
      <c r="BJ479" s="66"/>
      <c r="BK479" s="66">
        <f t="shared" si="419"/>
        <v>4340193</v>
      </c>
      <c r="BL479" s="66"/>
      <c r="BM479" s="144">
        <f t="shared" si="420"/>
        <v>2.0009709245648752E-2</v>
      </c>
      <c r="BN479" s="65">
        <f t="shared" si="421"/>
        <v>1079460.8191489361</v>
      </c>
      <c r="BO479" s="66"/>
      <c r="BP479" s="66">
        <f t="shared" si="422"/>
        <v>33147871</v>
      </c>
      <c r="BQ479" s="66"/>
      <c r="BR479" s="435">
        <f t="shared" si="423"/>
        <v>6.5335752678812253E-2</v>
      </c>
      <c r="BS479" s="66"/>
      <c r="BT479" s="75"/>
      <c r="BU479" s="170"/>
      <c r="BV479" s="1"/>
      <c r="BW479" s="61">
        <f t="shared" si="399"/>
        <v>470</v>
      </c>
    </row>
    <row r="480" spans="2:75" x14ac:dyDescent="0.3">
      <c r="B480" s="158">
        <f t="shared" si="398"/>
        <v>44380</v>
      </c>
      <c r="C480" s="61"/>
      <c r="D480" s="17">
        <v>7978</v>
      </c>
      <c r="E480" s="16"/>
      <c r="F480" s="16"/>
      <c r="G480" s="16"/>
      <c r="H480" s="16">
        <f t="shared" si="400"/>
        <v>34062827</v>
      </c>
      <c r="I480" s="16"/>
      <c r="J480" s="436">
        <f t="shared" si="401"/>
        <v>2.3426913447773619E-4</v>
      </c>
      <c r="K480" s="16"/>
      <c r="L480" s="16"/>
      <c r="M480" s="16"/>
      <c r="N480" s="16">
        <f t="shared" si="402"/>
        <v>88238</v>
      </c>
      <c r="O480" s="16">
        <f t="shared" si="403"/>
        <v>72320.227176220811</v>
      </c>
      <c r="P480" s="41"/>
      <c r="Q480" s="17">
        <f t="shared" si="404"/>
        <v>88238</v>
      </c>
      <c r="R480" s="16"/>
      <c r="S480" s="60">
        <f t="shared" si="405"/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si="406"/>
        <v>1440</v>
      </c>
      <c r="AA480" s="33">
        <f t="shared" si="407"/>
        <v>606128</v>
      </c>
      <c r="AB480" s="33"/>
      <c r="AC480" s="46">
        <f t="shared" si="408"/>
        <v>1.7794412659876996E-2</v>
      </c>
      <c r="AD480" s="33"/>
      <c r="AE480" s="33">
        <f t="shared" si="409"/>
        <v>1286.8959660297239</v>
      </c>
      <c r="AF480" s="50"/>
      <c r="AG480" s="33">
        <f t="shared" si="410"/>
        <v>1546</v>
      </c>
      <c r="AH480" s="33">
        <f>SUM(D451:D1223)</f>
        <v>827585505.06091404</v>
      </c>
      <c r="AI480" s="213">
        <f t="shared" si="411"/>
        <v>-0.22661330665332666</v>
      </c>
      <c r="AJ480" s="50"/>
      <c r="AK480" s="111"/>
      <c r="AL480" s="23">
        <f t="shared" si="412"/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si="413"/>
        <v>5.0012243368656862E-4</v>
      </c>
      <c r="AS480" s="25"/>
      <c r="AT480" s="25"/>
      <c r="AU480" s="24"/>
      <c r="AV480" s="298">
        <f t="shared" si="414"/>
        <v>0.85393443709178929</v>
      </c>
      <c r="AW480" s="298"/>
      <c r="AX480" s="24">
        <f t="shared" si="415"/>
        <v>61756.732484076434</v>
      </c>
      <c r="AY480" s="308"/>
      <c r="AZ480" s="111"/>
      <c r="BA480" s="65">
        <f t="shared" si="416"/>
        <v>255291</v>
      </c>
      <c r="BB480" s="66"/>
      <c r="BC480" s="66">
        <v>507601876</v>
      </c>
      <c r="BD480" s="66"/>
      <c r="BE480" s="66">
        <f t="shared" si="417"/>
        <v>7978</v>
      </c>
      <c r="BF480" s="66"/>
      <c r="BG480" s="144">
        <f t="shared" si="418"/>
        <v>3.125061204664481E-2</v>
      </c>
      <c r="BH480" s="66"/>
      <c r="BI480" s="170"/>
      <c r="BJ480" s="66"/>
      <c r="BK480" s="66">
        <f t="shared" si="419"/>
        <v>4144202</v>
      </c>
      <c r="BL480" s="66"/>
      <c r="BM480" s="144">
        <f t="shared" si="420"/>
        <v>2.1291915789819125E-2</v>
      </c>
      <c r="BN480" s="65">
        <f t="shared" si="421"/>
        <v>1077710.9893842887</v>
      </c>
      <c r="BO480" s="66"/>
      <c r="BP480" s="66">
        <f t="shared" si="422"/>
        <v>33155849</v>
      </c>
      <c r="BQ480" s="66"/>
      <c r="BR480" s="435">
        <f t="shared" si="423"/>
        <v>6.5318610051787906E-2</v>
      </c>
      <c r="BS480" s="66"/>
      <c r="BT480" s="75"/>
      <c r="BU480" s="170"/>
      <c r="BV480" s="1"/>
      <c r="BW480" s="61">
        <f t="shared" si="399"/>
        <v>471</v>
      </c>
    </row>
    <row r="481" spans="2:75" x14ac:dyDescent="0.3">
      <c r="B481" s="347">
        <f t="shared" si="398"/>
        <v>44381</v>
      </c>
      <c r="C481" s="61"/>
      <c r="D481" s="17">
        <v>5749</v>
      </c>
      <c r="E481" s="16"/>
      <c r="F481" s="16"/>
      <c r="G481" s="16"/>
      <c r="H481" s="16">
        <f t="shared" si="400"/>
        <v>34068576</v>
      </c>
      <c r="I481" s="16"/>
      <c r="J481" s="436">
        <f t="shared" si="401"/>
        <v>1.6877636139830672E-4</v>
      </c>
      <c r="K481" s="16"/>
      <c r="L481" s="16"/>
      <c r="M481" s="16"/>
      <c r="N481" s="16">
        <f t="shared" si="402"/>
        <v>86681</v>
      </c>
      <c r="O481" s="16">
        <f t="shared" si="403"/>
        <v>72179.186440677964</v>
      </c>
      <c r="P481" s="41"/>
      <c r="Q481" s="17">
        <f t="shared" si="404"/>
        <v>86681</v>
      </c>
      <c r="R481" s="16"/>
      <c r="S481" s="60">
        <f t="shared" si="405"/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si="406"/>
        <v>1331</v>
      </c>
      <c r="AA481" s="33">
        <f t="shared" si="407"/>
        <v>606183</v>
      </c>
      <c r="AB481" s="33"/>
      <c r="AC481" s="46">
        <f t="shared" si="408"/>
        <v>1.7793024281378828E-2</v>
      </c>
      <c r="AD481" s="33"/>
      <c r="AE481" s="33">
        <f t="shared" si="409"/>
        <v>1284.2860169491526</v>
      </c>
      <c r="AF481" s="50"/>
      <c r="AG481" s="33">
        <f t="shared" si="410"/>
        <v>1495</v>
      </c>
      <c r="AH481" s="33">
        <f>SUM(D452:D1224)</f>
        <v>827568580.06091404</v>
      </c>
      <c r="AI481" s="213">
        <f t="shared" si="411"/>
        <v>-0.25953442298167412</v>
      </c>
      <c r="AJ481" s="50"/>
      <c r="AK481" s="111"/>
      <c r="AL481" s="23">
        <f t="shared" si="412"/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si="413"/>
        <v>4.4180609893190601E-4</v>
      </c>
      <c r="AS481" s="25"/>
      <c r="AT481" s="25"/>
      <c r="AU481" s="24"/>
      <c r="AV481" s="298">
        <f t="shared" si="414"/>
        <v>0.85416754724353605</v>
      </c>
      <c r="AW481" s="298"/>
      <c r="AX481" s="24">
        <f t="shared" si="415"/>
        <v>61653.118644067799</v>
      </c>
      <c r="AY481" s="308"/>
      <c r="AZ481" s="111"/>
      <c r="BA481" s="65">
        <f t="shared" si="416"/>
        <v>483136</v>
      </c>
      <c r="BB481" s="66"/>
      <c r="BC481" s="66">
        <v>508085012</v>
      </c>
      <c r="BD481" s="66"/>
      <c r="BE481" s="66">
        <f t="shared" si="417"/>
        <v>5749</v>
      </c>
      <c r="BF481" s="66"/>
      <c r="BG481" s="144">
        <f t="shared" si="418"/>
        <v>1.1899340972314213E-2</v>
      </c>
      <c r="BH481" s="66"/>
      <c r="BI481" s="170"/>
      <c r="BJ481" s="66"/>
      <c r="BK481" s="66">
        <f t="shared" si="419"/>
        <v>4260795</v>
      </c>
      <c r="BL481" s="66"/>
      <c r="BM481" s="144">
        <f t="shared" si="420"/>
        <v>2.0343856017480306E-2</v>
      </c>
      <c r="BN481" s="65">
        <f t="shared" si="421"/>
        <v>1076451.2966101696</v>
      </c>
      <c r="BO481" s="66"/>
      <c r="BP481" s="66">
        <f t="shared" si="422"/>
        <v>33161598</v>
      </c>
      <c r="BQ481" s="66"/>
      <c r="BR481" s="435">
        <f t="shared" si="423"/>
        <v>6.5267813883083017E-2</v>
      </c>
      <c r="BS481" s="66"/>
      <c r="BT481" s="75"/>
      <c r="BU481" s="170"/>
      <c r="BV481" s="1"/>
      <c r="BW481" s="61">
        <f t="shared" si="399"/>
        <v>472</v>
      </c>
    </row>
    <row r="482" spans="2:75" x14ac:dyDescent="0.3">
      <c r="B482" s="158">
        <f t="shared" si="398"/>
        <v>44382</v>
      </c>
      <c r="C482" s="61"/>
      <c r="D482" s="17">
        <v>5132</v>
      </c>
      <c r="E482" s="16"/>
      <c r="F482" s="16"/>
      <c r="G482" s="16"/>
      <c r="H482" s="16">
        <f t="shared" si="400"/>
        <v>34073708</v>
      </c>
      <c r="I482" s="16"/>
      <c r="J482" s="436">
        <f t="shared" si="401"/>
        <v>1.5063734979706812E-4</v>
      </c>
      <c r="K482" s="16"/>
      <c r="L482" s="16"/>
      <c r="M482" s="16"/>
      <c r="N482" s="16">
        <f t="shared" si="402"/>
        <v>79831</v>
      </c>
      <c r="O482" s="16">
        <f t="shared" si="403"/>
        <v>72037.437632135305</v>
      </c>
      <c r="P482" s="41"/>
      <c r="Q482" s="17">
        <f t="shared" si="404"/>
        <v>79831</v>
      </c>
      <c r="R482" s="16"/>
      <c r="S482" s="60">
        <f t="shared" si="405"/>
        <v>-3.9453736012513535E-2</v>
      </c>
      <c r="T482" s="16"/>
      <c r="U482" s="41"/>
      <c r="V482" s="10">
        <f t="shared" si="349"/>
        <v>374</v>
      </c>
      <c r="W482" s="34">
        <v>36</v>
      </c>
      <c r="X482" s="33">
        <v>4256</v>
      </c>
      <c r="Y482" s="33"/>
      <c r="Z482" s="33">
        <f t="shared" si="406"/>
        <v>1073</v>
      </c>
      <c r="AA482" s="33">
        <f t="shared" si="407"/>
        <v>606219</v>
      </c>
      <c r="AB482" s="33"/>
      <c r="AC482" s="46">
        <f t="shared" si="408"/>
        <v>1.7791400924137755E-2</v>
      </c>
      <c r="AD482" s="33"/>
      <c r="AE482" s="33">
        <f t="shared" si="409"/>
        <v>1281.6469344608879</v>
      </c>
      <c r="AF482" s="50"/>
      <c r="AG482" s="33">
        <f t="shared" si="410"/>
        <v>1367</v>
      </c>
      <c r="AH482" s="33">
        <f>SUM(D453:D1225)</f>
        <v>827556977.06091404</v>
      </c>
      <c r="AI482" s="213">
        <f t="shared" si="411"/>
        <v>-0.29753340184994859</v>
      </c>
      <c r="AJ482" s="50"/>
      <c r="AK482" s="111"/>
      <c r="AL482" s="23">
        <f t="shared" si="412"/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si="413"/>
        <v>5.6673009791798512E-4</v>
      </c>
      <c r="AS482" s="25"/>
      <c r="AT482" s="25"/>
      <c r="AU482" s="24"/>
      <c r="AV482" s="298">
        <f t="shared" si="414"/>
        <v>0.85452290663522734</v>
      </c>
      <c r="AW482" s="298"/>
      <c r="AX482" s="24">
        <f t="shared" si="415"/>
        <v>61557.64059196617</v>
      </c>
      <c r="AY482" s="308"/>
      <c r="AZ482" s="111"/>
      <c r="BA482" s="65">
        <f t="shared" si="416"/>
        <v>380659</v>
      </c>
      <c r="BB482" s="66"/>
      <c r="BC482" s="66">
        <v>508465671</v>
      </c>
      <c r="BD482" s="66"/>
      <c r="BE482" s="66">
        <f t="shared" si="417"/>
        <v>5132</v>
      </c>
      <c r="BF482" s="66"/>
      <c r="BG482" s="144">
        <f t="shared" si="418"/>
        <v>1.3481882734941247E-2</v>
      </c>
      <c r="BH482" s="66"/>
      <c r="BI482" s="170"/>
      <c r="BJ482" s="66"/>
      <c r="BK482" s="66">
        <f t="shared" si="419"/>
        <v>3587598</v>
      </c>
      <c r="BL482" s="66"/>
      <c r="BM482" s="144">
        <f t="shared" si="420"/>
        <v>2.2251935696251363E-2</v>
      </c>
      <c r="BN482" s="65">
        <f t="shared" si="421"/>
        <v>1074980.2769556025</v>
      </c>
      <c r="BO482" s="66"/>
      <c r="BP482" s="66">
        <f t="shared" si="422"/>
        <v>33166730</v>
      </c>
      <c r="BQ482" s="66"/>
      <c r="BR482" s="435">
        <f t="shared" si="423"/>
        <v>6.5229044735254108E-2</v>
      </c>
      <c r="BS482" s="66"/>
      <c r="BT482" s="75"/>
      <c r="BU482" s="170"/>
      <c r="BV482" s="1"/>
      <c r="BW482" s="61">
        <f t="shared" si="399"/>
        <v>473</v>
      </c>
    </row>
    <row r="483" spans="2:75" x14ac:dyDescent="0.3">
      <c r="B483" s="158">
        <f t="shared" si="398"/>
        <v>44383</v>
      </c>
      <c r="C483" s="61"/>
      <c r="D483" s="17">
        <v>11612</v>
      </c>
      <c r="E483" s="16"/>
      <c r="F483" s="16"/>
      <c r="G483" s="16"/>
      <c r="H483" s="16">
        <f t="shared" si="400"/>
        <v>34085320</v>
      </c>
      <c r="I483" s="16"/>
      <c r="J483" s="436">
        <f t="shared" si="401"/>
        <v>3.4079061779833294E-4</v>
      </c>
      <c r="K483" s="16"/>
      <c r="L483" s="16"/>
      <c r="M483" s="16"/>
      <c r="N483" s="16">
        <f t="shared" si="402"/>
        <v>80016</v>
      </c>
      <c r="O483" s="16">
        <f t="shared" si="403"/>
        <v>71909.957805907179</v>
      </c>
      <c r="P483" s="41"/>
      <c r="Q483" s="17">
        <f t="shared" si="404"/>
        <v>80016</v>
      </c>
      <c r="R483" s="16"/>
      <c r="S483" s="60">
        <f t="shared" si="405"/>
        <v>-2.0168252452150912E-2</v>
      </c>
      <c r="T483" s="16"/>
      <c r="U483" s="41"/>
      <c r="V483" s="10">
        <f t="shared" si="349"/>
        <v>375</v>
      </c>
      <c r="W483" s="34">
        <v>202</v>
      </c>
      <c r="X483" s="33">
        <v>4256</v>
      </c>
      <c r="Y483" s="33"/>
      <c r="Z483" s="33">
        <f t="shared" si="406"/>
        <v>1026</v>
      </c>
      <c r="AA483" s="33">
        <f t="shared" si="407"/>
        <v>606421</v>
      </c>
      <c r="AB483" s="33"/>
      <c r="AC483" s="46">
        <f t="shared" si="408"/>
        <v>1.7791266152114751E-2</v>
      </c>
      <c r="AD483" s="33"/>
      <c r="AE483" s="33">
        <f t="shared" si="409"/>
        <v>1279.3691983122362</v>
      </c>
      <c r="AF483" s="50"/>
      <c r="AG483" s="33">
        <f t="shared" si="410"/>
        <v>1275</v>
      </c>
      <c r="AH483" s="33">
        <f>SUM(D454:D1226)</f>
        <v>827550569.06091404</v>
      </c>
      <c r="AI483" s="213">
        <f t="shared" si="411"/>
        <v>-0.29519071310116085</v>
      </c>
      <c r="AJ483" s="50"/>
      <c r="AK483" s="111"/>
      <c r="AL483" s="23">
        <f t="shared" si="412"/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si="413"/>
        <v>9.7953879764935419E-4</v>
      </c>
      <c r="AS483" s="25"/>
      <c r="AT483" s="25"/>
      <c r="AU483" s="24"/>
      <c r="AV483" s="298">
        <f t="shared" si="414"/>
        <v>0.85506854563782886</v>
      </c>
      <c r="AW483" s="298"/>
      <c r="AX483" s="24">
        <f t="shared" si="415"/>
        <v>61487.943037974685</v>
      </c>
      <c r="AY483" s="308"/>
      <c r="AZ483" s="111"/>
      <c r="BA483" s="65">
        <f t="shared" si="416"/>
        <v>750932</v>
      </c>
      <c r="BB483" s="66"/>
      <c r="BC483" s="66">
        <v>509216603</v>
      </c>
      <c r="BD483" s="66"/>
      <c r="BE483" s="66">
        <f t="shared" si="417"/>
        <v>11612</v>
      </c>
      <c r="BF483" s="66"/>
      <c r="BG483" s="144">
        <f t="shared" si="418"/>
        <v>1.5463450751865681E-2</v>
      </c>
      <c r="BH483" s="66"/>
      <c r="BI483" s="170"/>
      <c r="BJ483" s="66"/>
      <c r="BK483" s="66">
        <f t="shared" si="419"/>
        <v>3824004</v>
      </c>
      <c r="BL483" s="66"/>
      <c r="BM483" s="144">
        <f t="shared" si="420"/>
        <v>2.0924664304744451E-2</v>
      </c>
      <c r="BN483" s="65">
        <f t="shared" si="421"/>
        <v>1074296.6308016877</v>
      </c>
      <c r="BO483" s="66"/>
      <c r="BP483" s="66">
        <f t="shared" si="422"/>
        <v>33178342</v>
      </c>
      <c r="BQ483" s="66"/>
      <c r="BR483" s="435">
        <f t="shared" si="423"/>
        <v>6.5155656364173975E-2</v>
      </c>
      <c r="BS483" s="66"/>
      <c r="BT483" s="75"/>
      <c r="BU483" s="170"/>
      <c r="BV483" s="1"/>
      <c r="BW483" s="61">
        <f t="shared" si="399"/>
        <v>474</v>
      </c>
    </row>
    <row r="484" spans="2:75" x14ac:dyDescent="0.3">
      <c r="B484" s="158">
        <f t="shared" si="398"/>
        <v>44384</v>
      </c>
      <c r="C484" s="61"/>
      <c r="D484" s="17">
        <v>16812</v>
      </c>
      <c r="E484" s="16"/>
      <c r="F484" s="16"/>
      <c r="G484" s="16"/>
      <c r="H484" s="16">
        <f t="shared" si="400"/>
        <v>34102132</v>
      </c>
      <c r="I484" s="16"/>
      <c r="J484" s="436">
        <f t="shared" si="401"/>
        <v>4.9323286388392427E-4</v>
      </c>
      <c r="K484" s="16"/>
      <c r="L484" s="16"/>
      <c r="M484" s="16"/>
      <c r="N484" s="16">
        <f t="shared" si="402"/>
        <v>82631</v>
      </c>
      <c r="O484" s="16">
        <f t="shared" si="403"/>
        <v>71793.962105263156</v>
      </c>
      <c r="P484" s="41"/>
      <c r="Q484" s="17">
        <f t="shared" si="404"/>
        <v>82631</v>
      </c>
      <c r="R484" s="16"/>
      <c r="S484" s="60">
        <f t="shared" si="405"/>
        <v>1.6485847627128918E-3</v>
      </c>
      <c r="T484" s="16"/>
      <c r="U484" s="41"/>
      <c r="V484" s="10">
        <f t="shared" si="349"/>
        <v>376</v>
      </c>
      <c r="W484" s="34">
        <v>251</v>
      </c>
      <c r="X484" s="33">
        <v>4256</v>
      </c>
      <c r="Y484" s="33"/>
      <c r="Z484" s="33">
        <f t="shared" si="406"/>
        <v>962</v>
      </c>
      <c r="AA484" s="33">
        <f t="shared" si="407"/>
        <v>606672</v>
      </c>
      <c r="AB484" s="33"/>
      <c r="AC484" s="46">
        <f t="shared" si="408"/>
        <v>1.7789855484695208E-2</v>
      </c>
      <c r="AD484" s="33"/>
      <c r="AE484" s="33">
        <f t="shared" si="409"/>
        <v>1277.2042105263158</v>
      </c>
      <c r="AF484" s="50"/>
      <c r="AG484" s="33">
        <f t="shared" si="410"/>
        <v>1277</v>
      </c>
      <c r="AH484" s="33">
        <f>SUM(D455:D1227)</f>
        <v>827538286.06091404</v>
      </c>
      <c r="AI484" s="213">
        <f t="shared" si="411"/>
        <v>-0.26142278773857719</v>
      </c>
      <c r="AJ484" s="50"/>
      <c r="AK484" s="111"/>
      <c r="AL484" s="23">
        <f t="shared" si="412"/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si="413"/>
        <v>7.9011064739974233E-4</v>
      </c>
      <c r="AS484" s="25"/>
      <c r="AT484" s="25"/>
      <c r="AU484" s="24"/>
      <c r="AV484" s="298">
        <f t="shared" si="414"/>
        <v>0.85532227134655392</v>
      </c>
      <c r="AW484" s="298"/>
      <c r="AX484" s="24">
        <f t="shared" si="415"/>
        <v>61406.974736842109</v>
      </c>
      <c r="AY484" s="308"/>
      <c r="AZ484" s="111"/>
      <c r="BA484" s="65">
        <f t="shared" si="416"/>
        <v>486270</v>
      </c>
      <c r="BB484" s="66"/>
      <c r="BC484" s="66">
        <v>509702873</v>
      </c>
      <c r="BD484" s="66"/>
      <c r="BE484" s="66">
        <f t="shared" si="417"/>
        <v>16812</v>
      </c>
      <c r="BF484" s="66"/>
      <c r="BG484" s="144">
        <f t="shared" si="418"/>
        <v>3.4573385156394597E-2</v>
      </c>
      <c r="BH484" s="66"/>
      <c r="BI484" s="170"/>
      <c r="BJ484" s="66"/>
      <c r="BK484" s="66">
        <f t="shared" si="419"/>
        <v>3543745</v>
      </c>
      <c r="BL484" s="66"/>
      <c r="BM484" s="144">
        <f t="shared" si="420"/>
        <v>2.3317422670084895E-2</v>
      </c>
      <c r="BN484" s="65">
        <f t="shared" si="421"/>
        <v>1073058.68</v>
      </c>
      <c r="BO484" s="66"/>
      <c r="BP484" s="66">
        <f t="shared" si="422"/>
        <v>33195154</v>
      </c>
      <c r="BQ484" s="66"/>
      <c r="BR484" s="435">
        <f t="shared" si="423"/>
        <v>6.5126480069889664E-2</v>
      </c>
      <c r="BS484" s="66"/>
      <c r="BT484" s="75"/>
      <c r="BU484" s="170"/>
      <c r="BV484" s="1"/>
      <c r="BW484" s="61">
        <f t="shared" si="399"/>
        <v>475</v>
      </c>
    </row>
    <row r="485" spans="2:75" x14ac:dyDescent="0.3">
      <c r="B485" s="158">
        <f t="shared" si="398"/>
        <v>44385</v>
      </c>
      <c r="C485" s="61"/>
      <c r="D485" s="17">
        <v>19347</v>
      </c>
      <c r="E485" s="16"/>
      <c r="F485" s="16"/>
      <c r="G485" s="16"/>
      <c r="H485" s="16">
        <f t="shared" si="400"/>
        <v>34121479</v>
      </c>
      <c r="I485" s="16"/>
      <c r="J485" s="436">
        <f t="shared" si="401"/>
        <v>5.6732523350739477E-4</v>
      </c>
      <c r="K485" s="16"/>
      <c r="L485" s="16"/>
      <c r="M485" s="16"/>
      <c r="N485" s="16">
        <f t="shared" si="402"/>
        <v>85029</v>
      </c>
      <c r="O485" s="16">
        <f t="shared" si="403"/>
        <v>71683.779411764699</v>
      </c>
      <c r="P485" s="41"/>
      <c r="Q485" s="17">
        <f t="shared" si="404"/>
        <v>85029</v>
      </c>
      <c r="R485" s="16"/>
      <c r="S485" s="60">
        <f t="shared" si="405"/>
        <v>1.2442846256429796E-2</v>
      </c>
      <c r="T485" s="16"/>
      <c r="U485" s="41"/>
      <c r="V485" s="10">
        <f t="shared" si="349"/>
        <v>377</v>
      </c>
      <c r="W485" s="34">
        <v>261</v>
      </c>
      <c r="X485" s="33">
        <v>4256</v>
      </c>
      <c r="Y485" s="33"/>
      <c r="Z485" s="33">
        <f t="shared" si="406"/>
        <v>901</v>
      </c>
      <c r="AA485" s="33">
        <f t="shared" si="407"/>
        <v>606933</v>
      </c>
      <c r="AB485" s="33"/>
      <c r="AC485" s="46">
        <f t="shared" si="408"/>
        <v>1.7787417714220419E-2</v>
      </c>
      <c r="AD485" s="33"/>
      <c r="AE485" s="33">
        <f t="shared" si="409"/>
        <v>1275.0693277310925</v>
      </c>
      <c r="AF485" s="50"/>
      <c r="AG485" s="33">
        <f t="shared" si="410"/>
        <v>1223</v>
      </c>
      <c r="AH485" s="33">
        <f>SUM(D456:D1228)</f>
        <v>827524744.06091404</v>
      </c>
      <c r="AI485" s="213">
        <f t="shared" si="411"/>
        <v>-0.26502403846153844</v>
      </c>
      <c r="AJ485" s="50"/>
      <c r="AK485" s="111"/>
      <c r="AL485" s="23">
        <f t="shared" si="412"/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si="413"/>
        <v>1.1997608500704171E-3</v>
      </c>
      <c r="AS485" s="25"/>
      <c r="AT485" s="25"/>
      <c r="AU485" s="24"/>
      <c r="AV485" s="298">
        <f t="shared" si="414"/>
        <v>0.85586290090180439</v>
      </c>
      <c r="AW485" s="298"/>
      <c r="AX485" s="24">
        <f t="shared" si="415"/>
        <v>61351.487394957985</v>
      </c>
      <c r="AY485" s="308"/>
      <c r="AZ485" s="111"/>
      <c r="BA485" s="65">
        <f t="shared" si="416"/>
        <v>777468</v>
      </c>
      <c r="BB485" s="66"/>
      <c r="BC485" s="66">
        <v>510480341</v>
      </c>
      <c r="BD485" s="66"/>
      <c r="BE485" s="66">
        <f t="shared" si="417"/>
        <v>19347</v>
      </c>
      <c r="BF485" s="66"/>
      <c r="BG485" s="144">
        <f t="shared" si="418"/>
        <v>2.4884625476546945E-2</v>
      </c>
      <c r="BH485" s="66"/>
      <c r="BI485" s="170"/>
      <c r="BJ485" s="66"/>
      <c r="BK485" s="66">
        <f t="shared" si="419"/>
        <v>3875729</v>
      </c>
      <c r="BL485" s="66"/>
      <c r="BM485" s="144">
        <f t="shared" si="420"/>
        <v>2.193884040912045E-2</v>
      </c>
      <c r="BN485" s="65">
        <f t="shared" si="421"/>
        <v>1072437.6911764706</v>
      </c>
      <c r="BO485" s="66"/>
      <c r="BP485" s="66">
        <f t="shared" si="422"/>
        <v>33214501</v>
      </c>
      <c r="BQ485" s="66"/>
      <c r="BR485" s="435">
        <f t="shared" si="423"/>
        <v>6.5065191217618307E-2</v>
      </c>
      <c r="BS485" s="66"/>
      <c r="BT485" s="75"/>
      <c r="BU485" s="170"/>
      <c r="BV485" s="1"/>
      <c r="BW485" s="61">
        <f t="shared" si="399"/>
        <v>476</v>
      </c>
    </row>
    <row r="486" spans="2:75" x14ac:dyDescent="0.3">
      <c r="B486" s="158">
        <f t="shared" si="398"/>
        <v>44386</v>
      </c>
      <c r="C486" s="61"/>
      <c r="D486" s="17">
        <v>27237</v>
      </c>
      <c r="E486" s="16"/>
      <c r="F486" s="16"/>
      <c r="G486" s="16"/>
      <c r="H486" s="16">
        <f t="shared" si="400"/>
        <v>34148716</v>
      </c>
      <c r="I486" s="16"/>
      <c r="J486" s="436">
        <f t="shared" si="401"/>
        <v>7.9823620775641051E-4</v>
      </c>
      <c r="K486" s="16"/>
      <c r="L486" s="16"/>
      <c r="M486" s="16"/>
      <c r="N486" s="16">
        <f t="shared" si="402"/>
        <v>93867</v>
      </c>
      <c r="O486" s="16">
        <f t="shared" si="403"/>
        <v>71590.599580712791</v>
      </c>
      <c r="P486" s="41"/>
      <c r="Q486" s="17">
        <f t="shared" si="404"/>
        <v>93867</v>
      </c>
      <c r="R486" s="16"/>
      <c r="S486" s="60">
        <f t="shared" si="405"/>
        <v>8.0844253045620984E-2</v>
      </c>
      <c r="T486" s="16"/>
      <c r="U486" s="41"/>
      <c r="V486" s="10">
        <f t="shared" si="349"/>
        <v>378</v>
      </c>
      <c r="W486" s="34">
        <v>366</v>
      </c>
      <c r="X486" s="33">
        <v>4256</v>
      </c>
      <c r="Y486" s="33"/>
      <c r="Z486" s="33">
        <f t="shared" si="406"/>
        <v>1171</v>
      </c>
      <c r="AA486" s="33">
        <f t="shared" si="407"/>
        <v>607299</v>
      </c>
      <c r="AB486" s="33"/>
      <c r="AC486" s="46">
        <f t="shared" si="408"/>
        <v>1.7783948304234923E-2</v>
      </c>
      <c r="AD486" s="33"/>
      <c r="AE486" s="33">
        <f t="shared" si="409"/>
        <v>1273.1635220125786</v>
      </c>
      <c r="AF486" s="50"/>
      <c r="AG486" s="33">
        <f t="shared" si="410"/>
        <v>1267</v>
      </c>
      <c r="AH486" s="33">
        <f>SUM(D457:D1229)</f>
        <v>827510543.06091404</v>
      </c>
      <c r="AI486" s="213">
        <f t="shared" si="411"/>
        <v>-0.20762976860537835</v>
      </c>
      <c r="AJ486" s="50"/>
      <c r="AK486" s="111"/>
      <c r="AL486" s="23">
        <f t="shared" si="412"/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si="413"/>
        <v>6.7334837546486172E-4</v>
      </c>
      <c r="AS486" s="25"/>
      <c r="AT486" s="25"/>
      <c r="AU486" s="24"/>
      <c r="AV486" s="298">
        <f t="shared" si="414"/>
        <v>0.8557560992922838</v>
      </c>
      <c r="AW486" s="298"/>
      <c r="AX486" s="24">
        <f t="shared" si="415"/>
        <v>61264.092243186584</v>
      </c>
      <c r="AY486" s="308"/>
      <c r="AZ486" s="111"/>
      <c r="BA486" s="65">
        <f t="shared" si="416"/>
        <v>947663</v>
      </c>
      <c r="BB486" s="66"/>
      <c r="BC486" s="66">
        <v>511428004</v>
      </c>
      <c r="BD486" s="66"/>
      <c r="BE486" s="66">
        <f t="shared" si="417"/>
        <v>27237</v>
      </c>
      <c r="BF486" s="66"/>
      <c r="BG486" s="144">
        <f t="shared" si="418"/>
        <v>2.8741229740952216E-2</v>
      </c>
      <c r="BH486" s="66"/>
      <c r="BI486" s="170"/>
      <c r="BJ486" s="66"/>
      <c r="BK486" s="66">
        <f t="shared" si="419"/>
        <v>4081419</v>
      </c>
      <c r="BL486" s="66"/>
      <c r="BM486" s="144">
        <f t="shared" si="420"/>
        <v>2.2998618862704368E-2</v>
      </c>
      <c r="BN486" s="65">
        <f t="shared" si="421"/>
        <v>1072176.109014675</v>
      </c>
      <c r="BO486" s="66"/>
      <c r="BP486" s="66">
        <f t="shared" si="422"/>
        <v>33241738</v>
      </c>
      <c r="BQ486" s="66"/>
      <c r="BR486" s="435">
        <f t="shared" si="423"/>
        <v>6.4997883846814139E-2</v>
      </c>
      <c r="BS486" s="66"/>
      <c r="BT486" s="75"/>
      <c r="BU486" s="170"/>
      <c r="BV486" s="1"/>
      <c r="BW486" s="61">
        <f t="shared" si="399"/>
        <v>477</v>
      </c>
    </row>
    <row r="487" spans="2:75" x14ac:dyDescent="0.3">
      <c r="B487" s="158">
        <f t="shared" si="398"/>
        <v>44387</v>
      </c>
      <c r="C487" s="61"/>
      <c r="D487" s="17">
        <v>14535</v>
      </c>
      <c r="E487" s="16"/>
      <c r="F487" s="16"/>
      <c r="G487" s="16"/>
      <c r="H487" s="16">
        <f t="shared" si="400"/>
        <v>34163251</v>
      </c>
      <c r="I487" s="16"/>
      <c r="J487" s="436">
        <f t="shared" si="401"/>
        <v>4.2563825825837784E-4</v>
      </c>
      <c r="K487" s="16"/>
      <c r="L487" s="16"/>
      <c r="M487" s="16"/>
      <c r="N487" s="16">
        <f t="shared" si="402"/>
        <v>100424</v>
      </c>
      <c r="O487" s="16">
        <f t="shared" si="403"/>
        <v>71471.236401673639</v>
      </c>
      <c r="P487" s="41"/>
      <c r="Q487" s="17">
        <f t="shared" si="404"/>
        <v>100424</v>
      </c>
      <c r="R487" s="16"/>
      <c r="S487" s="60">
        <f t="shared" si="405"/>
        <v>0.13810376481787892</v>
      </c>
      <c r="T487" s="16"/>
      <c r="U487" s="41"/>
      <c r="V487" s="10">
        <f t="shared" si="349"/>
        <v>379</v>
      </c>
      <c r="W487" s="34">
        <v>118</v>
      </c>
      <c r="X487" s="33">
        <v>4256</v>
      </c>
      <c r="Y487" s="33"/>
      <c r="Z487" s="33">
        <f t="shared" si="406"/>
        <v>1234</v>
      </c>
      <c r="AA487" s="33">
        <f t="shared" si="407"/>
        <v>607417</v>
      </c>
      <c r="AB487" s="33"/>
      <c r="AC487" s="46">
        <f t="shared" si="408"/>
        <v>1.7779835999799903E-2</v>
      </c>
      <c r="AD487" s="33"/>
      <c r="AE487" s="33">
        <f t="shared" si="409"/>
        <v>1270.7468619246863</v>
      </c>
      <c r="AF487" s="50"/>
      <c r="AG487" s="33">
        <f t="shared" si="410"/>
        <v>1289</v>
      </c>
      <c r="AH487" s="33">
        <f>SUM(D458:D1230)</f>
        <v>827493779.06091404</v>
      </c>
      <c r="AI487" s="213">
        <f t="shared" si="411"/>
        <v>-0.16623544631306597</v>
      </c>
      <c r="AJ487" s="50"/>
      <c r="AK487" s="111"/>
      <c r="AL487" s="23">
        <f t="shared" si="412"/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si="413"/>
        <v>4.091986263409485E-4</v>
      </c>
      <c r="AS487" s="25"/>
      <c r="AT487" s="25"/>
      <c r="AU487" s="24"/>
      <c r="AV487" s="298">
        <f t="shared" si="414"/>
        <v>0.85574203696246587</v>
      </c>
      <c r="AW487" s="298"/>
      <c r="AX487" s="24">
        <f t="shared" si="415"/>
        <v>61160.941422594144</v>
      </c>
      <c r="AY487" s="308"/>
      <c r="AZ487" s="111"/>
      <c r="BA487" s="65">
        <f t="shared" si="416"/>
        <v>242661</v>
      </c>
      <c r="BB487" s="66"/>
      <c r="BC487" s="66">
        <v>511670665</v>
      </c>
      <c r="BD487" s="66"/>
      <c r="BE487" s="66">
        <f t="shared" si="417"/>
        <v>14535</v>
      </c>
      <c r="BF487" s="66"/>
      <c r="BG487" s="144">
        <f t="shared" si="418"/>
        <v>5.9898376747808672E-2</v>
      </c>
      <c r="BH487" s="66"/>
      <c r="BI487" s="170"/>
      <c r="BJ487" s="66"/>
      <c r="BK487" s="66">
        <f t="shared" si="419"/>
        <v>4068789</v>
      </c>
      <c r="BL487" s="66"/>
      <c r="BM487" s="144">
        <f t="shared" si="420"/>
        <v>2.4681545295172594E-2</v>
      </c>
      <c r="BN487" s="65">
        <f t="shared" si="421"/>
        <v>1070440.7217573221</v>
      </c>
      <c r="BO487" s="66"/>
      <c r="BP487" s="66">
        <f t="shared" si="422"/>
        <v>33256273</v>
      </c>
      <c r="BQ487" s="66"/>
      <c r="BR487" s="435">
        <f t="shared" si="423"/>
        <v>6.4995465393741111E-2</v>
      </c>
      <c r="BS487" s="66"/>
      <c r="BT487" s="75"/>
      <c r="BU487" s="170"/>
      <c r="BV487" s="1"/>
      <c r="BW487" s="61">
        <f t="shared" si="399"/>
        <v>478</v>
      </c>
    </row>
    <row r="488" spans="2:75" x14ac:dyDescent="0.3">
      <c r="B488" s="347">
        <f t="shared" si="398"/>
        <v>44388</v>
      </c>
      <c r="C488" s="61"/>
      <c r="D488" s="17">
        <v>6642</v>
      </c>
      <c r="E488" s="16"/>
      <c r="F488" s="16"/>
      <c r="G488" s="16"/>
      <c r="H488" s="16">
        <f t="shared" si="400"/>
        <v>34169893</v>
      </c>
      <c r="I488" s="16"/>
      <c r="J488" s="436">
        <f t="shared" si="401"/>
        <v>1.9441943625330037E-4</v>
      </c>
      <c r="K488" s="16"/>
      <c r="L488" s="16"/>
      <c r="M488" s="16"/>
      <c r="N488" s="16">
        <f t="shared" si="402"/>
        <v>101317</v>
      </c>
      <c r="O488" s="16">
        <f t="shared" si="403"/>
        <v>71335.893528183718</v>
      </c>
      <c r="P488" s="41"/>
      <c r="Q488" s="17">
        <f t="shared" si="404"/>
        <v>101317</v>
      </c>
      <c r="R488" s="16"/>
      <c r="S488" s="60">
        <f t="shared" si="405"/>
        <v>0.16884899805032244</v>
      </c>
      <c r="T488" s="16"/>
      <c r="U488" s="41"/>
      <c r="V488" s="10">
        <f t="shared" si="349"/>
        <v>380</v>
      </c>
      <c r="W488" s="34">
        <v>27</v>
      </c>
      <c r="X488" s="33">
        <v>4256</v>
      </c>
      <c r="Y488" s="33"/>
      <c r="Z488" s="33">
        <f t="shared" si="406"/>
        <v>1225</v>
      </c>
      <c r="AA488" s="33">
        <f t="shared" si="407"/>
        <v>607444</v>
      </c>
      <c r="AB488" s="33"/>
      <c r="AC488" s="46">
        <f t="shared" si="408"/>
        <v>1.777717009532339E-2</v>
      </c>
      <c r="AD488" s="33"/>
      <c r="AE488" s="33">
        <f t="shared" si="409"/>
        <v>1268.1503131524009</v>
      </c>
      <c r="AF488" s="50"/>
      <c r="AG488" s="33">
        <f t="shared" si="410"/>
        <v>1261</v>
      </c>
      <c r="AH488" s="33">
        <f>SUM(D459:D1231)</f>
        <v>827477634.06091404</v>
      </c>
      <c r="AI488" s="213">
        <f t="shared" si="411"/>
        <v>-0.15652173913043479</v>
      </c>
      <c r="AJ488" s="50"/>
      <c r="AK488" s="111"/>
      <c r="AL488" s="23">
        <f t="shared" si="412"/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si="413"/>
        <v>3.1376849542653256E-4</v>
      </c>
      <c r="AS488" s="25"/>
      <c r="AT488" s="25"/>
      <c r="AU488" s="24"/>
      <c r="AV488" s="298">
        <f t="shared" si="414"/>
        <v>0.85584414911688489</v>
      </c>
      <c r="AW488" s="298"/>
      <c r="AX488" s="24">
        <f t="shared" si="415"/>
        <v>61052.407098121083</v>
      </c>
      <c r="AY488" s="308"/>
      <c r="AZ488" s="111"/>
      <c r="BA488" s="65">
        <f t="shared" si="416"/>
        <v>134862</v>
      </c>
      <c r="BB488" s="66"/>
      <c r="BC488" s="66">
        <v>511805527</v>
      </c>
      <c r="BD488" s="66"/>
      <c r="BE488" s="66">
        <f t="shared" si="417"/>
        <v>6642</v>
      </c>
      <c r="BF488" s="66"/>
      <c r="BG488" s="144">
        <f t="shared" si="418"/>
        <v>4.9250344796903503E-2</v>
      </c>
      <c r="BH488" s="66"/>
      <c r="BI488" s="170"/>
      <c r="BJ488" s="66"/>
      <c r="BK488" s="66">
        <f t="shared" si="419"/>
        <v>3720515</v>
      </c>
      <c r="BL488" s="66"/>
      <c r="BM488" s="144">
        <f t="shared" si="420"/>
        <v>2.7231982669065975E-2</v>
      </c>
      <c r="BN488" s="65">
        <f t="shared" si="421"/>
        <v>1068487.5302713988</v>
      </c>
      <c r="BO488" s="66"/>
      <c r="BP488" s="66">
        <f t="shared" si="422"/>
        <v>33262915</v>
      </c>
      <c r="BQ488" s="66"/>
      <c r="BR488" s="435">
        <f t="shared" si="423"/>
        <v>6.4991316516204795E-2</v>
      </c>
      <c r="BS488" s="66"/>
      <c r="BT488" s="75"/>
      <c r="BU488" s="170"/>
      <c r="BV488" s="1"/>
      <c r="BW488" s="61">
        <f t="shared" si="399"/>
        <v>479</v>
      </c>
    </row>
    <row r="489" spans="2:75" x14ac:dyDescent="0.3">
      <c r="B489" s="158">
        <f t="shared" si="398"/>
        <v>44389</v>
      </c>
      <c r="C489" s="61"/>
      <c r="D489" s="17">
        <v>19996</v>
      </c>
      <c r="E489" s="16"/>
      <c r="F489" s="16"/>
      <c r="G489" s="16"/>
      <c r="H489" s="16">
        <f t="shared" si="400"/>
        <v>34189889</v>
      </c>
      <c r="I489" s="16"/>
      <c r="J489" s="436">
        <f t="shared" si="401"/>
        <v>5.8519352109179853E-4</v>
      </c>
      <c r="K489" s="16"/>
      <c r="L489" s="16"/>
      <c r="M489" s="16"/>
      <c r="N489" s="16">
        <f t="shared" si="402"/>
        <v>116181</v>
      </c>
      <c r="O489" s="16">
        <f t="shared" si="403"/>
        <v>71228.93541666666</v>
      </c>
      <c r="P489" s="41"/>
      <c r="Q489" s="17">
        <f t="shared" si="404"/>
        <v>116181</v>
      </c>
      <c r="R489" s="16"/>
      <c r="S489" s="60">
        <f t="shared" si="405"/>
        <v>0.45533689919955905</v>
      </c>
      <c r="T489" s="16"/>
      <c r="U489" s="41"/>
      <c r="V489" s="10">
        <f t="shared" si="349"/>
        <v>381</v>
      </c>
      <c r="W489" s="34">
        <v>163</v>
      </c>
      <c r="X489" s="33">
        <v>4256</v>
      </c>
      <c r="Y489" s="33"/>
      <c r="Z489" s="33">
        <f t="shared" si="406"/>
        <v>1186</v>
      </c>
      <c r="AA489" s="33">
        <f t="shared" si="407"/>
        <v>607607</v>
      </c>
      <c r="AB489" s="33"/>
      <c r="AC489" s="46">
        <f t="shared" si="408"/>
        <v>1.7771540586165695E-2</v>
      </c>
      <c r="AD489" s="33"/>
      <c r="AE489" s="33">
        <f t="shared" si="409"/>
        <v>1265.8479166666666</v>
      </c>
      <c r="AF489" s="50"/>
      <c r="AG489" s="33">
        <f t="shared" si="410"/>
        <v>1388</v>
      </c>
      <c r="AH489" s="33">
        <f>SUM(D460:D1232)</f>
        <v>827468207.06091404</v>
      </c>
      <c r="AI489" s="213">
        <f t="shared" si="411"/>
        <v>1.5362106803218726E-2</v>
      </c>
      <c r="AJ489" s="50"/>
      <c r="AK489" s="111"/>
      <c r="AL489" s="23">
        <f t="shared" si="412"/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61">
        <f t="shared" si="413"/>
        <v>1.2838143813130463E-3</v>
      </c>
      <c r="AS489" s="25"/>
      <c r="AT489" s="25"/>
      <c r="AU489" s="24"/>
      <c r="AV489" s="298">
        <f t="shared" si="414"/>
        <v>0.85644171000379676</v>
      </c>
      <c r="AW489" s="298"/>
      <c r="AX489" s="24">
        <f t="shared" si="415"/>
        <v>61003.431250000001</v>
      </c>
      <c r="AY489" s="308"/>
      <c r="AZ489" s="111"/>
      <c r="BA489" s="65">
        <f t="shared" si="416"/>
        <v>1358363</v>
      </c>
      <c r="BB489" s="66"/>
      <c r="BC489" s="66">
        <v>513163890</v>
      </c>
      <c r="BD489" s="66"/>
      <c r="BE489" s="66">
        <f t="shared" si="417"/>
        <v>19996</v>
      </c>
      <c r="BF489" s="66"/>
      <c r="BG489" s="144">
        <f t="shared" si="418"/>
        <v>1.4720660088650825E-2</v>
      </c>
      <c r="BH489" s="66"/>
      <c r="BI489" s="170"/>
      <c r="BJ489" s="66"/>
      <c r="BK489" s="66">
        <f t="shared" si="419"/>
        <v>4698219</v>
      </c>
      <c r="BL489" s="66"/>
      <c r="BM489" s="144">
        <f t="shared" si="420"/>
        <v>2.4728732313244656E-2</v>
      </c>
      <c r="BN489" s="65">
        <f t="shared" si="421"/>
        <v>1069091.4375</v>
      </c>
      <c r="BO489" s="66"/>
      <c r="BP489" s="66">
        <f t="shared" si="422"/>
        <v>33282911</v>
      </c>
      <c r="BQ489" s="66"/>
      <c r="BR489" s="435">
        <f t="shared" si="423"/>
        <v>6.4858248307377978E-2</v>
      </c>
      <c r="BS489" s="66"/>
      <c r="BT489" s="75"/>
      <c r="BU489" s="170"/>
      <c r="BV489" s="1"/>
      <c r="BW489" s="61">
        <f t="shared" si="399"/>
        <v>480</v>
      </c>
    </row>
    <row r="490" spans="2:75" x14ac:dyDescent="0.3">
      <c r="B490" s="158">
        <f t="shared" si="398"/>
        <v>44390</v>
      </c>
      <c r="C490" s="61"/>
      <c r="D490" s="17">
        <v>39754</v>
      </c>
      <c r="E490" s="16"/>
      <c r="F490" s="16"/>
      <c r="G490" s="16"/>
      <c r="H490" s="16">
        <f t="shared" si="400"/>
        <v>34229643</v>
      </c>
      <c r="I490" s="16"/>
      <c r="J490" s="436">
        <f t="shared" si="401"/>
        <v>1.1627414174991912E-3</v>
      </c>
      <c r="K490" s="16"/>
      <c r="L490" s="16"/>
      <c r="M490" s="16"/>
      <c r="N490" s="16">
        <f t="shared" si="402"/>
        <v>144323</v>
      </c>
      <c r="O490" s="16">
        <f t="shared" si="403"/>
        <v>71163.498960498953</v>
      </c>
      <c r="P490" s="41"/>
      <c r="Q490" s="17">
        <f t="shared" si="404"/>
        <v>144323</v>
      </c>
      <c r="R490" s="16"/>
      <c r="S490" s="60">
        <f t="shared" si="405"/>
        <v>0.80367676464707061</v>
      </c>
      <c r="T490" s="16"/>
      <c r="U490" s="41"/>
      <c r="V490" s="10">
        <f t="shared" si="349"/>
        <v>382</v>
      </c>
      <c r="W490" s="34">
        <v>171</v>
      </c>
      <c r="X490" s="33">
        <v>4256</v>
      </c>
      <c r="Y490" s="33"/>
      <c r="Z490" s="33">
        <f t="shared" si="406"/>
        <v>1106</v>
      </c>
      <c r="AA490" s="33">
        <f t="shared" si="407"/>
        <v>607778</v>
      </c>
      <c r="AB490" s="33"/>
      <c r="AC490" s="46">
        <f t="shared" si="408"/>
        <v>1.7755896548497452E-2</v>
      </c>
      <c r="AD490" s="33"/>
      <c r="AE490" s="33">
        <f t="shared" si="409"/>
        <v>1263.5717255717257</v>
      </c>
      <c r="AF490" s="50"/>
      <c r="AG490" s="33">
        <f t="shared" si="410"/>
        <v>1357</v>
      </c>
      <c r="AH490" s="33">
        <f>SUM(D461:D1233)</f>
        <v>827462922.06091404</v>
      </c>
      <c r="AI490" s="213">
        <f t="shared" si="411"/>
        <v>6.431372549019608E-2</v>
      </c>
      <c r="AJ490" s="50"/>
      <c r="AK490" s="111" t="s">
        <v>26</v>
      </c>
      <c r="AL490" s="23">
        <f t="shared" si="412"/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61">
        <f t="shared" si="413"/>
        <v>6.2677485320412473E-4</v>
      </c>
      <c r="AS490" s="25"/>
      <c r="AT490" s="25"/>
      <c r="AU490" s="24"/>
      <c r="AV490" s="298">
        <f t="shared" si="414"/>
        <v>0.85598321898945895</v>
      </c>
      <c r="AW490" s="298"/>
      <c r="AX490" s="24">
        <f t="shared" si="415"/>
        <v>60914.760914760918</v>
      </c>
      <c r="AY490" s="308"/>
      <c r="AZ490" s="111" t="s">
        <v>26</v>
      </c>
      <c r="BA490" s="65">
        <f t="shared" si="416"/>
        <v>536110</v>
      </c>
      <c r="BB490" s="66"/>
      <c r="BC490" s="66">
        <v>513700000</v>
      </c>
      <c r="BD490" s="66"/>
      <c r="BE490" s="66">
        <f t="shared" si="417"/>
        <v>39754</v>
      </c>
      <c r="BF490" s="66"/>
      <c r="BG490" s="144">
        <f t="shared" si="418"/>
        <v>7.4152692544440513E-2</v>
      </c>
      <c r="BH490" s="66"/>
      <c r="BI490" s="170"/>
      <c r="BJ490" s="66"/>
      <c r="BK490" s="66">
        <f t="shared" si="419"/>
        <v>4483397</v>
      </c>
      <c r="BL490" s="66"/>
      <c r="BM490" s="144">
        <f t="shared" si="420"/>
        <v>3.2190546587777077E-2</v>
      </c>
      <c r="BN490" s="65">
        <f t="shared" si="421"/>
        <v>1067983.367983368</v>
      </c>
      <c r="BO490" s="66"/>
      <c r="BP490" s="66">
        <f t="shared" si="422"/>
        <v>33322665</v>
      </c>
      <c r="BQ490" s="66"/>
      <c r="BR490" s="435">
        <f t="shared" si="423"/>
        <v>6.4867948218804747E-2</v>
      </c>
      <c r="BS490" s="66"/>
      <c r="BT490" s="75"/>
      <c r="BU490" s="170"/>
      <c r="BV490" s="1"/>
      <c r="BW490" s="61">
        <f t="shared" si="399"/>
        <v>481</v>
      </c>
    </row>
    <row r="491" spans="2:75" x14ac:dyDescent="0.3">
      <c r="B491" s="158">
        <f t="shared" si="398"/>
        <v>44391</v>
      </c>
      <c r="C491" s="61"/>
      <c r="D491" s="17">
        <v>35447</v>
      </c>
      <c r="E491" s="16"/>
      <c r="F491" s="16"/>
      <c r="G491" s="16"/>
      <c r="H491" s="16">
        <f t="shared" si="400"/>
        <v>34265090</v>
      </c>
      <c r="I491" s="16"/>
      <c r="J491" s="436">
        <f t="shared" si="401"/>
        <v>1.0355644083112406E-3</v>
      </c>
      <c r="K491" s="16"/>
      <c r="L491" s="16"/>
      <c r="M491" s="16"/>
      <c r="N491" s="16">
        <f t="shared" si="402"/>
        <v>162958</v>
      </c>
      <c r="O491" s="16">
        <f t="shared" si="403"/>
        <v>71089.398340248968</v>
      </c>
      <c r="P491" s="41"/>
      <c r="Q491" s="17">
        <f t="shared" si="404"/>
        <v>162958</v>
      </c>
      <c r="R491" s="16"/>
      <c r="S491" s="60">
        <f t="shared" si="405"/>
        <v>0.97211700209364527</v>
      </c>
      <c r="T491" s="16"/>
      <c r="U491" s="41"/>
      <c r="V491" s="10">
        <f t="shared" si="349"/>
        <v>383</v>
      </c>
      <c r="W491" s="34">
        <v>347</v>
      </c>
      <c r="X491" s="33">
        <v>4256</v>
      </c>
      <c r="Y491" s="33"/>
      <c r="Z491" s="33">
        <f t="shared" si="406"/>
        <v>1192</v>
      </c>
      <c r="AA491" s="33">
        <f t="shared" si="407"/>
        <v>608125</v>
      </c>
      <c r="AB491" s="33"/>
      <c r="AC491" s="46">
        <f t="shared" si="408"/>
        <v>1.7747655120707403E-2</v>
      </c>
      <c r="AD491" s="33"/>
      <c r="AE491" s="33">
        <f t="shared" si="409"/>
        <v>1261.6701244813278</v>
      </c>
      <c r="AF491" s="50"/>
      <c r="AG491" s="33">
        <f t="shared" si="410"/>
        <v>1453</v>
      </c>
      <c r="AH491" s="33">
        <f>SUM(D462:D1234)</f>
        <v>827451401.06091404</v>
      </c>
      <c r="AI491" s="213">
        <f t="shared" si="411"/>
        <v>0.13782302270947533</v>
      </c>
      <c r="AJ491" s="50"/>
      <c r="AK491" s="111"/>
      <c r="AL491" s="23">
        <f t="shared" si="412"/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61">
        <f t="shared" si="413"/>
        <v>8.2935153583617749E-4</v>
      </c>
      <c r="AS491" s="25"/>
      <c r="AT491" s="25"/>
      <c r="AU491" s="24"/>
      <c r="AV491" s="298">
        <f t="shared" si="414"/>
        <v>0.85580688683438455</v>
      </c>
      <c r="AW491" s="298"/>
      <c r="AX491" s="24">
        <f t="shared" si="415"/>
        <v>60838.796680497922</v>
      </c>
      <c r="AY491" s="308"/>
      <c r="AZ491" s="111"/>
      <c r="BA491" s="65">
        <f t="shared" si="416"/>
        <v>874420</v>
      </c>
      <c r="BB491" s="66"/>
      <c r="BC491" s="66">
        <v>514574420</v>
      </c>
      <c r="BD491" s="66"/>
      <c r="BE491" s="66">
        <f t="shared" si="417"/>
        <v>35447</v>
      </c>
      <c r="BF491" s="66"/>
      <c r="BG491" s="144">
        <f t="shared" si="418"/>
        <v>4.0537727865327874E-2</v>
      </c>
      <c r="BH491" s="66"/>
      <c r="BI491" s="170"/>
      <c r="BJ491" s="66"/>
      <c r="BK491" s="66">
        <f t="shared" si="419"/>
        <v>4871547</v>
      </c>
      <c r="BL491" s="66"/>
      <c r="BM491" s="144">
        <f t="shared" si="420"/>
        <v>3.3450975634639266E-2</v>
      </c>
      <c r="BN491" s="65">
        <f t="shared" si="421"/>
        <v>1067581.7842323652</v>
      </c>
      <c r="BO491" s="66"/>
      <c r="BP491" s="66">
        <f t="shared" si="422"/>
        <v>33358112</v>
      </c>
      <c r="BQ491" s="66"/>
      <c r="BR491" s="435">
        <f t="shared" si="423"/>
        <v>6.4826603700976815E-2</v>
      </c>
      <c r="BS491" s="66"/>
      <c r="BT491" s="75"/>
      <c r="BU491" s="170"/>
      <c r="BV491" s="1"/>
      <c r="BW491" s="61">
        <f t="shared" si="399"/>
        <v>482</v>
      </c>
    </row>
    <row r="492" spans="2:75" x14ac:dyDescent="0.3">
      <c r="B492" s="158">
        <f t="shared" si="398"/>
        <v>44392</v>
      </c>
      <c r="C492" s="61"/>
      <c r="D492" s="17">
        <v>36674</v>
      </c>
      <c r="E492" s="16"/>
      <c r="F492" s="16"/>
      <c r="G492" s="16"/>
      <c r="H492" s="16">
        <f t="shared" si="400"/>
        <v>34301764</v>
      </c>
      <c r="I492" s="16"/>
      <c r="J492" s="436">
        <f t="shared" si="401"/>
        <v>1.0703021646813126E-3</v>
      </c>
      <c r="K492" s="16"/>
      <c r="L492" s="16"/>
      <c r="M492" s="16"/>
      <c r="N492" s="16">
        <f t="shared" si="402"/>
        <v>180285</v>
      </c>
      <c r="O492" s="16">
        <f t="shared" si="403"/>
        <v>71018.144927536225</v>
      </c>
      <c r="P492" s="41"/>
      <c r="Q492" s="17">
        <f t="shared" si="404"/>
        <v>180285</v>
      </c>
      <c r="R492" s="16"/>
      <c r="S492" s="60">
        <f t="shared" si="405"/>
        <v>1.1202766115090146</v>
      </c>
      <c r="T492" s="16"/>
      <c r="U492" s="41"/>
      <c r="V492" s="10">
        <f t="shared" si="349"/>
        <v>384</v>
      </c>
      <c r="W492" s="34">
        <v>344</v>
      </c>
      <c r="X492" s="33">
        <v>4256</v>
      </c>
      <c r="Y492" s="33"/>
      <c r="Z492" s="33">
        <f t="shared" si="406"/>
        <v>1170</v>
      </c>
      <c r="AA492" s="33">
        <f t="shared" si="407"/>
        <v>608469</v>
      </c>
      <c r="AB492" s="33"/>
      <c r="AC492" s="46">
        <f t="shared" si="408"/>
        <v>1.7738708714805453E-2</v>
      </c>
      <c r="AD492" s="33"/>
      <c r="AE492" s="33">
        <f t="shared" si="409"/>
        <v>1259.7701863354037</v>
      </c>
      <c r="AF492" s="50"/>
      <c r="AG492" s="33">
        <f t="shared" si="410"/>
        <v>1536</v>
      </c>
      <c r="AH492" s="33">
        <f>SUM(D463:D1235)</f>
        <v>827438821.06091404</v>
      </c>
      <c r="AI492" s="213">
        <f t="shared" si="411"/>
        <v>0.25592804578904332</v>
      </c>
      <c r="AJ492" s="50"/>
      <c r="AK492" s="111"/>
      <c r="AL492" s="23">
        <f t="shared" si="412"/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61">
        <f t="shared" si="413"/>
        <v>6.006281479864822E-4</v>
      </c>
      <c r="AS492" s="25"/>
      <c r="AT492" s="25"/>
      <c r="AU492" s="24"/>
      <c r="AV492" s="298">
        <f t="shared" si="414"/>
        <v>0.85540536632460074</v>
      </c>
      <c r="AW492" s="298"/>
      <c r="AX492" s="24">
        <f t="shared" si="415"/>
        <v>60749.302277432711</v>
      </c>
      <c r="AY492" s="308"/>
      <c r="AZ492" s="111"/>
      <c r="BA492" s="65">
        <f t="shared" si="416"/>
        <v>637606</v>
      </c>
      <c r="BB492" s="66"/>
      <c r="BC492" s="66">
        <v>515212026</v>
      </c>
      <c r="BD492" s="66"/>
      <c r="BE492" s="66">
        <f t="shared" si="417"/>
        <v>36674</v>
      </c>
      <c r="BF492" s="66"/>
      <c r="BG492" s="144">
        <f t="shared" si="418"/>
        <v>5.7518279313557276E-2</v>
      </c>
      <c r="BH492" s="66"/>
      <c r="BI492" s="170"/>
      <c r="BJ492" s="66"/>
      <c r="BK492" s="66">
        <f t="shared" si="419"/>
        <v>4731685</v>
      </c>
      <c r="BL492" s="66"/>
      <c r="BM492" s="144">
        <f t="shared" si="420"/>
        <v>3.810164877839501E-2</v>
      </c>
      <c r="BN492" s="65">
        <f t="shared" si="421"/>
        <v>1066691.5652173914</v>
      </c>
      <c r="BO492" s="66"/>
      <c r="BP492" s="66">
        <f t="shared" si="422"/>
        <v>33394786</v>
      </c>
      <c r="BQ492" s="66"/>
      <c r="BR492" s="435">
        <f t="shared" si="423"/>
        <v>6.4817559208138517E-2</v>
      </c>
      <c r="BS492" s="66"/>
      <c r="BT492" s="75"/>
      <c r="BU492" s="170"/>
      <c r="BV492" s="1"/>
      <c r="BW492" s="61">
        <f t="shared" si="399"/>
        <v>483</v>
      </c>
    </row>
    <row r="493" spans="2:75" x14ac:dyDescent="0.3">
      <c r="B493" s="158">
        <f t="shared" si="398"/>
        <v>44393</v>
      </c>
      <c r="C493" s="61"/>
      <c r="D493" s="17">
        <v>40529</v>
      </c>
      <c r="E493" s="16"/>
      <c r="F493" s="16"/>
      <c r="G493" s="16"/>
      <c r="H493" s="16">
        <f t="shared" si="400"/>
        <v>34342293</v>
      </c>
      <c r="I493" s="16"/>
      <c r="J493" s="436">
        <f t="shared" si="401"/>
        <v>1.1815427334874089E-3</v>
      </c>
      <c r="K493" s="16"/>
      <c r="L493" s="16"/>
      <c r="M493" s="16"/>
      <c r="N493" s="16">
        <f t="shared" si="402"/>
        <v>193577</v>
      </c>
      <c r="O493" s="16">
        <f t="shared" si="403"/>
        <v>70955.150826446275</v>
      </c>
      <c r="P493" s="41"/>
      <c r="Q493" s="17">
        <f t="shared" si="404"/>
        <v>193577</v>
      </c>
      <c r="R493" s="16"/>
      <c r="S493" s="60">
        <f t="shared" si="405"/>
        <v>1.0622476482682945</v>
      </c>
      <c r="T493" s="16"/>
      <c r="U493" s="41"/>
      <c r="V493" s="10">
        <f t="shared" si="349"/>
        <v>385</v>
      </c>
      <c r="W493" s="34">
        <v>293</v>
      </c>
      <c r="X493" s="33">
        <v>4256</v>
      </c>
      <c r="Y493" s="33"/>
      <c r="Z493" s="33">
        <f t="shared" si="406"/>
        <v>1345</v>
      </c>
      <c r="AA493" s="33">
        <f t="shared" si="407"/>
        <v>608762</v>
      </c>
      <c r="AB493" s="33"/>
      <c r="AC493" s="46">
        <f t="shared" si="408"/>
        <v>1.7726306161327084E-2</v>
      </c>
      <c r="AD493" s="33"/>
      <c r="AE493" s="33">
        <f t="shared" si="409"/>
        <v>1257.7727272727273</v>
      </c>
      <c r="AF493" s="50"/>
      <c r="AG493" s="33">
        <f t="shared" si="410"/>
        <v>1463</v>
      </c>
      <c r="AH493" s="33">
        <f>SUM(D464:D1236)</f>
        <v>827424758.06091404</v>
      </c>
      <c r="AI493" s="213">
        <f t="shared" si="411"/>
        <v>0.15469613259668508</v>
      </c>
      <c r="AJ493" s="50"/>
      <c r="AK493" s="111"/>
      <c r="AL493" s="23">
        <f t="shared" si="412"/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61">
        <f t="shared" si="413"/>
        <v>5.6635707426438075E-4</v>
      </c>
      <c r="AS493" s="25"/>
      <c r="AT493" s="25"/>
      <c r="AU493" s="24"/>
      <c r="AV493" s="298">
        <f t="shared" si="414"/>
        <v>0.85487975424355034</v>
      </c>
      <c r="AW493" s="298"/>
      <c r="AX493" s="24">
        <f t="shared" si="415"/>
        <v>60658.121900826445</v>
      </c>
      <c r="AY493" s="308"/>
      <c r="AZ493" s="111"/>
      <c r="BA493" s="65">
        <f t="shared" si="416"/>
        <v>852776</v>
      </c>
      <c r="BB493" s="66"/>
      <c r="BC493" s="66">
        <v>516064802</v>
      </c>
      <c r="BD493" s="66"/>
      <c r="BE493" s="66">
        <f t="shared" si="417"/>
        <v>40529</v>
      </c>
      <c r="BF493" s="66"/>
      <c r="BG493" s="144">
        <f t="shared" si="418"/>
        <v>4.7525962269107012E-2</v>
      </c>
      <c r="BH493" s="66"/>
      <c r="BI493" s="170"/>
      <c r="BJ493" s="66"/>
      <c r="BK493" s="66">
        <f t="shared" si="419"/>
        <v>4636798</v>
      </c>
      <c r="BL493" s="66"/>
      <c r="BM493" s="144">
        <f t="shared" si="420"/>
        <v>4.1747990747062952E-2</v>
      </c>
      <c r="BN493" s="65">
        <f t="shared" si="421"/>
        <v>1066249.5909090908</v>
      </c>
      <c r="BO493" s="66"/>
      <c r="BP493" s="66">
        <f t="shared" si="422"/>
        <v>33435315</v>
      </c>
      <c r="BQ493" s="66"/>
      <c r="BR493" s="435">
        <f t="shared" si="423"/>
        <v>6.478898555069447E-2</v>
      </c>
      <c r="BS493" s="66"/>
      <c r="BT493" s="75"/>
      <c r="BU493" s="170"/>
      <c r="BV493" s="1"/>
      <c r="BW493" s="61">
        <f t="shared" si="399"/>
        <v>484</v>
      </c>
    </row>
    <row r="494" spans="2:75" x14ac:dyDescent="0.3">
      <c r="B494" s="158">
        <f t="shared" si="398"/>
        <v>44394</v>
      </c>
      <c r="C494" s="61"/>
      <c r="D494" s="17">
        <v>24081</v>
      </c>
      <c r="E494" s="16"/>
      <c r="F494" s="16"/>
      <c r="G494" s="16"/>
      <c r="H494" s="16">
        <f t="shared" si="400"/>
        <v>34366374</v>
      </c>
      <c r="I494" s="16"/>
      <c r="J494" s="436">
        <f t="shared" si="401"/>
        <v>7.0120536214631911E-4</v>
      </c>
      <c r="K494" s="16"/>
      <c r="L494" s="16"/>
      <c r="M494" s="16"/>
      <c r="N494" s="16">
        <f t="shared" si="402"/>
        <v>203123</v>
      </c>
      <c r="O494" s="16">
        <f t="shared" si="403"/>
        <v>70858.503092783503</v>
      </c>
      <c r="P494" s="41"/>
      <c r="Q494" s="17">
        <f t="shared" si="404"/>
        <v>203123</v>
      </c>
      <c r="R494" s="16"/>
      <c r="S494" s="60">
        <f t="shared" si="405"/>
        <v>1.0226539472636023</v>
      </c>
      <c r="T494" s="16"/>
      <c r="U494" s="41"/>
      <c r="V494" s="10">
        <f t="shared" si="349"/>
        <v>386</v>
      </c>
      <c r="W494" s="34">
        <v>113</v>
      </c>
      <c r="X494" s="33">
        <v>4256</v>
      </c>
      <c r="Y494" s="33"/>
      <c r="Z494" s="33">
        <f t="shared" si="406"/>
        <v>1431</v>
      </c>
      <c r="AA494" s="33">
        <f t="shared" si="407"/>
        <v>608875</v>
      </c>
      <c r="AB494" s="33"/>
      <c r="AC494" s="46">
        <f t="shared" si="408"/>
        <v>1.7717173187954016E-2</v>
      </c>
      <c r="AD494" s="33"/>
      <c r="AE494" s="33">
        <f t="shared" si="409"/>
        <v>1255.4123711340205</v>
      </c>
      <c r="AF494" s="50"/>
      <c r="AG494" s="33">
        <f t="shared" si="410"/>
        <v>1458</v>
      </c>
      <c r="AH494" s="33">
        <f>SUM(D465:D1237)</f>
        <v>827411025.06091404</v>
      </c>
      <c r="AI494" s="213">
        <f t="shared" si="411"/>
        <v>0.13110938712179984</v>
      </c>
      <c r="AJ494" s="50"/>
      <c r="AK494" s="111"/>
      <c r="AL494" s="23">
        <f t="shared" si="412"/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61">
        <f t="shared" si="413"/>
        <v>3.6275656980248774E-4</v>
      </c>
      <c r="AS494" s="25"/>
      <c r="AT494" s="25"/>
      <c r="AU494" s="24"/>
      <c r="AV494" s="298">
        <f t="shared" si="414"/>
        <v>0.8545906239628307</v>
      </c>
      <c r="AW494" s="298"/>
      <c r="AX494" s="24">
        <f t="shared" si="415"/>
        <v>60555.01237113402</v>
      </c>
      <c r="AY494" s="308"/>
      <c r="AZ494" s="111"/>
      <c r="BA494" s="65">
        <f t="shared" si="416"/>
        <v>212860</v>
      </c>
      <c r="BB494" s="66"/>
      <c r="BC494" s="66">
        <v>516277662</v>
      </c>
      <c r="BD494" s="66"/>
      <c r="BE494" s="66">
        <f t="shared" si="417"/>
        <v>24081</v>
      </c>
      <c r="BF494" s="66"/>
      <c r="BG494" s="144">
        <f t="shared" si="418"/>
        <v>0.11313069623226533</v>
      </c>
      <c r="BH494" s="66"/>
      <c r="BI494" s="170"/>
      <c r="BJ494" s="66"/>
      <c r="BK494" s="66">
        <f t="shared" si="419"/>
        <v>4606997</v>
      </c>
      <c r="BL494" s="66"/>
      <c r="BM494" s="144">
        <f t="shared" si="420"/>
        <v>4.409010902329652E-2</v>
      </c>
      <c r="BN494" s="65">
        <f t="shared" si="421"/>
        <v>1064490.024742268</v>
      </c>
      <c r="BO494" s="66"/>
      <c r="BP494" s="66">
        <f t="shared" si="422"/>
        <v>33459396</v>
      </c>
      <c r="BQ494" s="66"/>
      <c r="BR494" s="435">
        <f t="shared" si="423"/>
        <v>6.480891671815156E-2</v>
      </c>
      <c r="BS494" s="66"/>
      <c r="BT494" s="75"/>
      <c r="BU494" s="170"/>
      <c r="BV494" s="1"/>
      <c r="BW494" s="61">
        <f t="shared" si="399"/>
        <v>485</v>
      </c>
    </row>
    <row r="495" spans="2:75" x14ac:dyDescent="0.3">
      <c r="B495" s="347">
        <f t="shared" si="398"/>
        <v>44395</v>
      </c>
      <c r="C495" s="61"/>
      <c r="D495" s="17">
        <v>22278</v>
      </c>
      <c r="E495" s="16"/>
      <c r="F495" s="16"/>
      <c r="G495" s="16"/>
      <c r="H495" s="16">
        <f t="shared" si="400"/>
        <v>34388652</v>
      </c>
      <c r="I495" s="16"/>
      <c r="J495" s="436">
        <f t="shared" si="401"/>
        <v>6.4824994338943064E-4</v>
      </c>
      <c r="K495" s="16"/>
      <c r="L495" s="16"/>
      <c r="M495" s="16"/>
      <c r="N495" s="16">
        <f t="shared" si="402"/>
        <v>218759</v>
      </c>
      <c r="O495" s="16">
        <f t="shared" si="403"/>
        <v>70758.543209876545</v>
      </c>
      <c r="P495" s="41"/>
      <c r="Q495" s="17">
        <f t="shared" si="404"/>
        <v>218759</v>
      </c>
      <c r="R495" s="16"/>
      <c r="S495" s="60">
        <f t="shared" si="405"/>
        <v>1.1591539425762705</v>
      </c>
      <c r="T495" s="16"/>
      <c r="U495" s="41"/>
      <c r="V495" s="10">
        <f t="shared" si="349"/>
        <v>387</v>
      </c>
      <c r="W495" s="34">
        <v>82</v>
      </c>
      <c r="X495" s="33">
        <v>4256</v>
      </c>
      <c r="Y495" s="33"/>
      <c r="Z495" s="33">
        <f t="shared" si="406"/>
        <v>1350</v>
      </c>
      <c r="AA495" s="33">
        <f t="shared" si="407"/>
        <v>608957</v>
      </c>
      <c r="AB495" s="33"/>
      <c r="AC495" s="46">
        <f t="shared" si="408"/>
        <v>1.7708079979407161E-2</v>
      </c>
      <c r="AD495" s="33"/>
      <c r="AE495" s="33">
        <f t="shared" si="409"/>
        <v>1252.9979423868313</v>
      </c>
      <c r="AF495" s="50"/>
      <c r="AG495" s="33">
        <f t="shared" si="410"/>
        <v>1513</v>
      </c>
      <c r="AH495" s="33">
        <f>SUM(D466:D1238)</f>
        <v>827397636.06091404</v>
      </c>
      <c r="AI495" s="213">
        <f t="shared" si="411"/>
        <v>0.19984139571768439</v>
      </c>
      <c r="AJ495" s="50"/>
      <c r="AK495" s="111"/>
      <c r="AL495" s="23">
        <f t="shared" si="412"/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61">
        <f t="shared" si="413"/>
        <v>3.8652763248658519E-4</v>
      </c>
      <c r="AS495" s="25"/>
      <c r="AT495" s="25"/>
      <c r="AU495" s="24"/>
      <c r="AV495" s="298">
        <f t="shared" si="414"/>
        <v>0.85436710342702582</v>
      </c>
      <c r="AW495" s="298"/>
      <c r="AX495" s="24">
        <f t="shared" si="415"/>
        <v>60453.771604938273</v>
      </c>
      <c r="AY495" s="308"/>
      <c r="AZ495" s="111"/>
      <c r="BA495" s="65">
        <f t="shared" si="416"/>
        <v>1092874</v>
      </c>
      <c r="BB495" s="66"/>
      <c r="BC495" s="66">
        <v>517370536</v>
      </c>
      <c r="BD495" s="66"/>
      <c r="BE495" s="66">
        <f t="shared" si="417"/>
        <v>22278</v>
      </c>
      <c r="BF495" s="66"/>
      <c r="BG495" s="144">
        <f t="shared" si="418"/>
        <v>2.0384783607259392E-2</v>
      </c>
      <c r="BH495" s="66"/>
      <c r="BI495" s="170"/>
      <c r="BJ495" s="66"/>
      <c r="BK495" s="66">
        <f t="shared" si="419"/>
        <v>5565009</v>
      </c>
      <c r="BL495" s="66"/>
      <c r="BM495" s="144">
        <f t="shared" si="420"/>
        <v>3.9309729777615814E-2</v>
      </c>
      <c r="BN495" s="65">
        <f t="shared" si="421"/>
        <v>1064548.4279835392</v>
      </c>
      <c r="BO495" s="66"/>
      <c r="BP495" s="66">
        <f t="shared" si="422"/>
        <v>33481674</v>
      </c>
      <c r="BQ495" s="66"/>
      <c r="BR495" s="435">
        <f t="shared" si="423"/>
        <v>6.4715076855478296E-2</v>
      </c>
      <c r="BS495" s="66"/>
      <c r="BT495" s="75"/>
      <c r="BU495" s="170"/>
      <c r="BV495" s="1"/>
      <c r="BW495" s="61">
        <f t="shared" si="399"/>
        <v>486</v>
      </c>
    </row>
    <row r="496" spans="2:75" x14ac:dyDescent="0.3">
      <c r="B496" s="158">
        <f t="shared" si="398"/>
        <v>44396</v>
      </c>
      <c r="C496" s="61"/>
      <c r="D496" s="17">
        <v>32576</v>
      </c>
      <c r="E496" s="16"/>
      <c r="F496" s="16"/>
      <c r="G496" s="16"/>
      <c r="H496" s="16">
        <f t="shared" si="400"/>
        <v>34421228</v>
      </c>
      <c r="I496" s="16"/>
      <c r="J496" s="436">
        <f t="shared" si="401"/>
        <v>9.4728923948516502E-4</v>
      </c>
      <c r="K496" s="16"/>
      <c r="L496" s="16"/>
      <c r="M496" s="16"/>
      <c r="N496" s="16">
        <f t="shared" si="402"/>
        <v>231339</v>
      </c>
      <c r="O496" s="16">
        <f t="shared" si="403"/>
        <v>70680.139630390142</v>
      </c>
      <c r="P496" s="41"/>
      <c r="Q496" s="17">
        <f t="shared" si="404"/>
        <v>231339</v>
      </c>
      <c r="R496" s="16"/>
      <c r="S496" s="60">
        <f t="shared" si="405"/>
        <v>0.99119477367211506</v>
      </c>
      <c r="T496" s="16"/>
      <c r="U496" s="41"/>
      <c r="V496" s="10">
        <f t="shared" si="349"/>
        <v>388</v>
      </c>
      <c r="W496" s="34">
        <v>137</v>
      </c>
      <c r="X496" s="33">
        <v>4256</v>
      </c>
      <c r="Y496" s="33"/>
      <c r="Z496" s="33">
        <f t="shared" si="406"/>
        <v>1316</v>
      </c>
      <c r="AA496" s="33">
        <f t="shared" si="407"/>
        <v>609094</v>
      </c>
      <c r="AB496" s="33"/>
      <c r="AC496" s="46">
        <f t="shared" si="408"/>
        <v>1.7695301283266244E-2</v>
      </c>
      <c r="AD496" s="33"/>
      <c r="AE496" s="33">
        <f t="shared" si="409"/>
        <v>1250.7063655030802</v>
      </c>
      <c r="AF496" s="50"/>
      <c r="AG496" s="33">
        <f t="shared" si="410"/>
        <v>1487</v>
      </c>
      <c r="AH496" s="33">
        <f>SUM(D467:D1239)</f>
        <v>827389854.06091404</v>
      </c>
      <c r="AI496" s="213">
        <f t="shared" si="411"/>
        <v>7.1325648414985593E-2</v>
      </c>
      <c r="AJ496" s="50"/>
      <c r="AK496" s="111"/>
      <c r="AL496" s="23">
        <f t="shared" si="412"/>
        <v>31423</v>
      </c>
      <c r="AM496" s="24"/>
      <c r="AN496" s="24"/>
      <c r="AO496" s="24">
        <v>178263</v>
      </c>
      <c r="AP496" s="24">
        <v>29411956</v>
      </c>
      <c r="AQ496" s="24">
        <v>20336656</v>
      </c>
      <c r="AR496" s="461">
        <f t="shared" si="413"/>
        <v>1.0695176973133877E-3</v>
      </c>
      <c r="AS496" s="25"/>
      <c r="AT496" s="25"/>
      <c r="AU496" s="24"/>
      <c r="AV496" s="298">
        <f t="shared" si="414"/>
        <v>0.85447143257062186</v>
      </c>
      <c r="AW496" s="298"/>
      <c r="AX496" s="24">
        <f t="shared" si="415"/>
        <v>60394.160164271045</v>
      </c>
      <c r="AY496" s="308"/>
      <c r="AZ496" s="111"/>
      <c r="BA496" s="65">
        <f t="shared" si="416"/>
        <v>614626</v>
      </c>
      <c r="BB496" s="66"/>
      <c r="BC496" s="66">
        <v>517985162</v>
      </c>
      <c r="BD496" s="66"/>
      <c r="BE496" s="66">
        <f t="shared" si="417"/>
        <v>32576</v>
      </c>
      <c r="BF496" s="66"/>
      <c r="BG496" s="144">
        <f t="shared" si="418"/>
        <v>5.3001337398678218E-2</v>
      </c>
      <c r="BH496" s="66"/>
      <c r="BI496" s="170"/>
      <c r="BJ496" s="66"/>
      <c r="BK496" s="66">
        <f t="shared" si="419"/>
        <v>4821272</v>
      </c>
      <c r="BL496" s="66"/>
      <c r="BM496" s="144">
        <f t="shared" si="420"/>
        <v>4.7982980425082838E-2</v>
      </c>
      <c r="BN496" s="65">
        <f t="shared" si="421"/>
        <v>1063624.5626283367</v>
      </c>
      <c r="BO496" s="66"/>
      <c r="BP496" s="66">
        <f t="shared" si="422"/>
        <v>33514250</v>
      </c>
      <c r="BQ496" s="66"/>
      <c r="BR496" s="435">
        <f t="shared" si="423"/>
        <v>6.4701177675819219E-2</v>
      </c>
      <c r="BS496" s="66"/>
      <c r="BT496" s="75"/>
      <c r="BU496" s="170"/>
      <c r="BV496" s="1"/>
      <c r="BW496" s="61">
        <f t="shared" si="399"/>
        <v>487</v>
      </c>
    </row>
    <row r="497" spans="2:75" x14ac:dyDescent="0.3">
      <c r="B497" s="158">
        <f t="shared" si="398"/>
        <v>44397</v>
      </c>
      <c r="C497" s="61"/>
      <c r="D497" s="17">
        <v>44232</v>
      </c>
      <c r="E497" s="16"/>
      <c r="F497" s="16"/>
      <c r="G497" s="16"/>
      <c r="H497" s="16">
        <f t="shared" si="400"/>
        <v>34465460</v>
      </c>
      <c r="I497" s="16"/>
      <c r="J497" s="436">
        <f t="shared" si="401"/>
        <v>1.2850209760093393E-3</v>
      </c>
      <c r="K497" s="16"/>
      <c r="L497" s="16"/>
      <c r="M497" s="16"/>
      <c r="N497" s="16">
        <f t="shared" si="402"/>
        <v>235817</v>
      </c>
      <c r="O497" s="16">
        <f t="shared" si="403"/>
        <v>70625.942622950824</v>
      </c>
      <c r="P497" s="41"/>
      <c r="Q497" s="17">
        <f t="shared" si="404"/>
        <v>235817</v>
      </c>
      <c r="R497" s="16"/>
      <c r="S497" s="60">
        <f t="shared" si="405"/>
        <v>0.63395300818303391</v>
      </c>
      <c r="T497" s="16"/>
      <c r="U497" s="41"/>
      <c r="V497" s="10">
        <f t="shared" si="349"/>
        <v>389</v>
      </c>
      <c r="W497" s="34">
        <v>256</v>
      </c>
      <c r="X497" s="33">
        <v>4256</v>
      </c>
      <c r="Y497" s="33"/>
      <c r="Z497" s="33">
        <f t="shared" si="406"/>
        <v>1225</v>
      </c>
      <c r="AA497" s="33">
        <f t="shared" si="407"/>
        <v>609350</v>
      </c>
      <c r="AB497" s="33"/>
      <c r="AC497" s="46">
        <f t="shared" si="408"/>
        <v>1.7680019358511392E-2</v>
      </c>
      <c r="AD497" s="33"/>
      <c r="AE497" s="33">
        <f t="shared" si="409"/>
        <v>1248.6680327868853</v>
      </c>
      <c r="AF497" s="50"/>
      <c r="AG497" s="33">
        <f t="shared" si="410"/>
        <v>1572</v>
      </c>
      <c r="AH497" s="33">
        <f>SUM(D468:D1240)</f>
        <v>827385432.06091404</v>
      </c>
      <c r="AI497" s="213">
        <f t="shared" si="411"/>
        <v>0.15843773028739869</v>
      </c>
      <c r="AJ497" s="50"/>
      <c r="AK497" s="111"/>
      <c r="AL497" s="23">
        <f t="shared" si="412"/>
        <v>23215</v>
      </c>
      <c r="AM497" s="24"/>
      <c r="AN497" s="24"/>
      <c r="AO497" s="24">
        <v>178263</v>
      </c>
      <c r="AP497" s="24">
        <v>29435171</v>
      </c>
      <c r="AQ497" s="24">
        <v>20336656</v>
      </c>
      <c r="AR497" s="461">
        <f t="shared" si="413"/>
        <v>7.8930486636114917E-4</v>
      </c>
      <c r="AS497" s="25"/>
      <c r="AT497" s="25"/>
      <c r="AU497" s="24"/>
      <c r="AV497" s="298">
        <f t="shared" si="414"/>
        <v>0.85404840092080592</v>
      </c>
      <c r="AW497" s="298"/>
      <c r="AX497" s="24">
        <f t="shared" si="415"/>
        <v>60317.973360655735</v>
      </c>
      <c r="AY497" s="308"/>
      <c r="AZ497" s="111"/>
      <c r="BA497" s="65">
        <f t="shared" si="416"/>
        <v>673069</v>
      </c>
      <c r="BB497" s="66"/>
      <c r="BC497" s="66">
        <v>518658231</v>
      </c>
      <c r="BD497" s="66"/>
      <c r="BE497" s="66">
        <f t="shared" si="417"/>
        <v>44232</v>
      </c>
      <c r="BF497" s="66"/>
      <c r="BG497" s="144">
        <f t="shared" si="418"/>
        <v>6.571688786736575E-2</v>
      </c>
      <c r="BH497" s="66"/>
      <c r="BI497" s="170"/>
      <c r="BJ497" s="66"/>
      <c r="BK497" s="66">
        <f t="shared" si="419"/>
        <v>4958231</v>
      </c>
      <c r="BL497" s="66"/>
      <c r="BM497" s="144">
        <f t="shared" si="420"/>
        <v>4.7560712681599546E-2</v>
      </c>
      <c r="BN497" s="65">
        <f t="shared" si="421"/>
        <v>1062824.2438524591</v>
      </c>
      <c r="BO497" s="66"/>
      <c r="BP497" s="66">
        <f t="shared" si="422"/>
        <v>33558482</v>
      </c>
      <c r="BQ497" s="66"/>
      <c r="BR497" s="435">
        <f t="shared" si="423"/>
        <v>6.4702495775103203E-2</v>
      </c>
      <c r="BS497" s="66"/>
      <c r="BT497" s="75"/>
      <c r="BU497" s="170"/>
      <c r="BV497" s="1"/>
      <c r="BW497" s="61">
        <f t="shared" si="399"/>
        <v>488</v>
      </c>
    </row>
    <row r="498" spans="2:75" x14ac:dyDescent="0.3">
      <c r="B498" s="158">
        <f t="shared" si="398"/>
        <v>44398</v>
      </c>
      <c r="C498" s="61"/>
      <c r="D498" s="17">
        <v>56525</v>
      </c>
      <c r="E498" s="16"/>
      <c r="F498" s="16"/>
      <c r="G498" s="16"/>
      <c r="H498" s="16">
        <f t="shared" si="400"/>
        <v>34521985</v>
      </c>
      <c r="I498" s="16"/>
      <c r="J498" s="436">
        <f t="shared" si="401"/>
        <v>1.6400477463524351E-3</v>
      </c>
      <c r="K498" s="16"/>
      <c r="L498" s="16"/>
      <c r="M498" s="16"/>
      <c r="N498" s="16">
        <f t="shared" si="402"/>
        <v>256895</v>
      </c>
      <c r="O498" s="16">
        <f t="shared" si="403"/>
        <v>70597.106339468301</v>
      </c>
      <c r="P498" s="41"/>
      <c r="Q498" s="17">
        <f t="shared" si="404"/>
        <v>256895</v>
      </c>
      <c r="R498" s="16"/>
      <c r="S498" s="60">
        <f t="shared" si="405"/>
        <v>0.57644914640582234</v>
      </c>
      <c r="T498" s="16"/>
      <c r="U498" s="41"/>
      <c r="V498" s="10">
        <f t="shared" si="349"/>
        <v>390</v>
      </c>
      <c r="W498" s="34">
        <v>416</v>
      </c>
      <c r="X498" s="33">
        <v>4256</v>
      </c>
      <c r="Y498" s="33"/>
      <c r="Z498" s="33">
        <f t="shared" si="406"/>
        <v>1297</v>
      </c>
      <c r="AA498" s="33">
        <f t="shared" si="407"/>
        <v>609766</v>
      </c>
      <c r="AB498" s="33"/>
      <c r="AC498" s="46">
        <f t="shared" si="408"/>
        <v>1.7663121051700821E-2</v>
      </c>
      <c r="AD498" s="33"/>
      <c r="AE498" s="33">
        <f t="shared" si="409"/>
        <v>1246.9652351738241</v>
      </c>
      <c r="AF498" s="50"/>
      <c r="AG498" s="33">
        <f t="shared" si="410"/>
        <v>1641</v>
      </c>
      <c r="AH498" s="33">
        <f>SUM(D469:D1241)</f>
        <v>827375677.06091404</v>
      </c>
      <c r="AI498" s="213">
        <f t="shared" si="411"/>
        <v>0.12938747419132829</v>
      </c>
      <c r="AJ498" s="50"/>
      <c r="AK498" s="111"/>
      <c r="AL498" s="23">
        <f t="shared" si="412"/>
        <v>23232</v>
      </c>
      <c r="AM498" s="24"/>
      <c r="AN498" s="24"/>
      <c r="AO498" s="24">
        <v>178263</v>
      </c>
      <c r="AP498" s="24">
        <v>29458403</v>
      </c>
      <c r="AQ498" s="24">
        <v>20336656</v>
      </c>
      <c r="AR498" s="461">
        <f t="shared" si="413"/>
        <v>7.8925989592518425E-4</v>
      </c>
      <c r="AS498" s="25"/>
      <c r="AT498" s="25"/>
      <c r="AU498" s="24"/>
      <c r="AV498" s="298">
        <f t="shared" si="414"/>
        <v>0.85332297664806933</v>
      </c>
      <c r="AW498" s="298"/>
      <c r="AX498" s="24">
        <f t="shared" si="415"/>
        <v>60242.132924335376</v>
      </c>
      <c r="AY498" s="308"/>
      <c r="AZ498" s="111"/>
      <c r="BA498" s="65">
        <f t="shared" si="416"/>
        <v>822020</v>
      </c>
      <c r="BB498" s="66"/>
      <c r="BC498" s="66">
        <v>519480251</v>
      </c>
      <c r="BD498" s="66"/>
      <c r="BE498" s="66">
        <f t="shared" si="417"/>
        <v>56525</v>
      </c>
      <c r="BF498" s="66"/>
      <c r="BG498" s="144">
        <f t="shared" si="418"/>
        <v>6.8763533733972412E-2</v>
      </c>
      <c r="BH498" s="66"/>
      <c r="BI498" s="170"/>
      <c r="BJ498" s="66"/>
      <c r="BK498" s="66">
        <f t="shared" si="419"/>
        <v>4905831</v>
      </c>
      <c r="BL498" s="66"/>
      <c r="BM498" s="144">
        <f t="shared" si="420"/>
        <v>5.2365236389105126E-2</v>
      </c>
      <c r="BN498" s="65">
        <f t="shared" si="421"/>
        <v>1062331.8016359918</v>
      </c>
      <c r="BO498" s="66"/>
      <c r="BP498" s="66">
        <f t="shared" si="422"/>
        <v>33615007</v>
      </c>
      <c r="BQ498" s="66"/>
      <c r="BR498" s="435">
        <f t="shared" si="423"/>
        <v>6.4708921918188569E-2</v>
      </c>
      <c r="BS498" s="66"/>
      <c r="BT498" s="75"/>
      <c r="BU498" s="170"/>
      <c r="BV498" s="1"/>
      <c r="BW498" s="61">
        <f t="shared" si="399"/>
        <v>489</v>
      </c>
    </row>
    <row r="499" spans="2:75" x14ac:dyDescent="0.3">
      <c r="B499" s="158">
        <f t="shared" si="398"/>
        <v>44399</v>
      </c>
      <c r="C499" s="61"/>
      <c r="D499" s="17">
        <v>61651</v>
      </c>
      <c r="E499" s="16"/>
      <c r="F499" s="16"/>
      <c r="G499" s="16"/>
      <c r="H499" s="16">
        <f t="shared" si="400"/>
        <v>34583636</v>
      </c>
      <c r="I499" s="16"/>
      <c r="J499" s="436">
        <f t="shared" si="401"/>
        <v>1.7858474824086737E-3</v>
      </c>
      <c r="K499" s="16"/>
      <c r="L499" s="16"/>
      <c r="M499" s="16"/>
      <c r="N499" s="16">
        <f t="shared" si="402"/>
        <v>281872</v>
      </c>
      <c r="O499" s="16">
        <f t="shared" si="403"/>
        <v>70578.848979591843</v>
      </c>
      <c r="P499" s="41"/>
      <c r="Q499" s="17">
        <f t="shared" si="404"/>
        <v>281872</v>
      </c>
      <c r="R499" s="16"/>
      <c r="S499" s="60">
        <f t="shared" si="405"/>
        <v>0.56348004548353992</v>
      </c>
      <c r="T499" s="16"/>
      <c r="U499" s="41"/>
      <c r="V499" s="10">
        <f t="shared" si="349"/>
        <v>391</v>
      </c>
      <c r="W499" s="34">
        <v>365</v>
      </c>
      <c r="X499" s="33">
        <v>4256</v>
      </c>
      <c r="Y499" s="33"/>
      <c r="Z499" s="33">
        <f t="shared" si="406"/>
        <v>1369</v>
      </c>
      <c r="AA499" s="33">
        <f t="shared" si="407"/>
        <v>610131</v>
      </c>
      <c r="AB499" s="33"/>
      <c r="AC499" s="46">
        <f t="shared" si="408"/>
        <v>1.7642187767648261E-2</v>
      </c>
      <c r="AD499" s="33"/>
      <c r="AE499" s="33">
        <f t="shared" si="409"/>
        <v>1245.165306122449</v>
      </c>
      <c r="AF499" s="50"/>
      <c r="AG499" s="33">
        <f t="shared" si="410"/>
        <v>1662</v>
      </c>
      <c r="AH499" s="33">
        <f>SUM(D470:D1242)</f>
        <v>827362803.06091404</v>
      </c>
      <c r="AI499" s="213">
        <f t="shared" si="411"/>
        <v>8.203125E-2</v>
      </c>
      <c r="AJ499" s="50"/>
      <c r="AK499" s="111"/>
      <c r="AL499" s="23">
        <f t="shared" si="412"/>
        <v>19770</v>
      </c>
      <c r="AM499" s="24"/>
      <c r="AN499" s="24"/>
      <c r="AO499" s="24">
        <v>178263</v>
      </c>
      <c r="AP499" s="24">
        <v>29478173</v>
      </c>
      <c r="AQ499" s="24">
        <v>20336656</v>
      </c>
      <c r="AR499" s="461">
        <f t="shared" si="413"/>
        <v>6.7111581031734817E-4</v>
      </c>
      <c r="AS499" s="25"/>
      <c r="AT499" s="25"/>
      <c r="AU499" s="24"/>
      <c r="AV499" s="298">
        <f t="shared" si="414"/>
        <v>0.85237344621600808</v>
      </c>
      <c r="AW499" s="298"/>
      <c r="AX499" s="24">
        <f t="shared" si="415"/>
        <v>60159.53673469388</v>
      </c>
      <c r="AY499" s="308"/>
      <c r="AZ499" s="111"/>
      <c r="BA499" s="65">
        <f t="shared" si="416"/>
        <v>931237</v>
      </c>
      <c r="BB499" s="66"/>
      <c r="BC499" s="66">
        <v>520411488</v>
      </c>
      <c r="BD499" s="66"/>
      <c r="BE499" s="66">
        <f t="shared" si="417"/>
        <v>61651</v>
      </c>
      <c r="BF499" s="66"/>
      <c r="BG499" s="144">
        <f t="shared" si="418"/>
        <v>6.6203340288240264E-2</v>
      </c>
      <c r="BH499" s="66"/>
      <c r="BI499" s="170"/>
      <c r="BJ499" s="66"/>
      <c r="BK499" s="66">
        <f t="shared" si="419"/>
        <v>5199462</v>
      </c>
      <c r="BL499" s="66"/>
      <c r="BM499" s="144">
        <f t="shared" si="420"/>
        <v>5.4211762678523276E-2</v>
      </c>
      <c r="BN499" s="65">
        <f t="shared" si="421"/>
        <v>1062064.2612244899</v>
      </c>
      <c r="BO499" s="66"/>
      <c r="BP499" s="66">
        <f t="shared" si="422"/>
        <v>33676658</v>
      </c>
      <c r="BQ499" s="66"/>
      <c r="BR499" s="435">
        <f t="shared" si="423"/>
        <v>6.4711596066841626E-2</v>
      </c>
      <c r="BS499" s="66"/>
      <c r="BT499" s="75"/>
      <c r="BU499" s="170"/>
      <c r="BV499" s="1"/>
      <c r="BW499" s="61">
        <f t="shared" si="399"/>
        <v>490</v>
      </c>
    </row>
    <row r="500" spans="2:75" x14ac:dyDescent="0.3">
      <c r="B500" s="158">
        <f t="shared" si="398"/>
        <v>44400</v>
      </c>
      <c r="C500" s="61"/>
      <c r="D500" s="17">
        <v>67485</v>
      </c>
      <c r="E500" s="16"/>
      <c r="F500" s="16"/>
      <c r="G500" s="16"/>
      <c r="H500" s="16">
        <f t="shared" si="400"/>
        <v>34651121</v>
      </c>
      <c r="I500" s="16"/>
      <c r="J500" s="436">
        <f t="shared" si="401"/>
        <v>1.9513564160807152E-3</v>
      </c>
      <c r="K500" s="16"/>
      <c r="L500" s="16"/>
      <c r="M500" s="16"/>
      <c r="N500" s="16">
        <f t="shared" si="402"/>
        <v>308828</v>
      </c>
      <c r="O500" s="16">
        <f t="shared" si="403"/>
        <v>70572.547861507133</v>
      </c>
      <c r="P500" s="41"/>
      <c r="Q500" s="17">
        <f t="shared" si="404"/>
        <v>308828</v>
      </c>
      <c r="R500" s="16"/>
      <c r="S500" s="60">
        <f t="shared" si="405"/>
        <v>0.5953754836576659</v>
      </c>
      <c r="T500" s="16"/>
      <c r="U500" s="41"/>
      <c r="V500" s="10">
        <f t="shared" si="349"/>
        <v>392</v>
      </c>
      <c r="W500" s="34">
        <v>428</v>
      </c>
      <c r="X500" s="33">
        <v>4256</v>
      </c>
      <c r="Y500" s="33"/>
      <c r="Z500" s="33">
        <f t="shared" si="406"/>
        <v>1684</v>
      </c>
      <c r="AA500" s="33">
        <f t="shared" si="407"/>
        <v>610559</v>
      </c>
      <c r="AB500" s="33"/>
      <c r="AC500" s="46">
        <f t="shared" si="408"/>
        <v>1.7620180311049678E-2</v>
      </c>
      <c r="AD500" s="33"/>
      <c r="AE500" s="33">
        <f t="shared" si="409"/>
        <v>1243.5010183299389</v>
      </c>
      <c r="AF500" s="50"/>
      <c r="AG500" s="33">
        <f t="shared" si="410"/>
        <v>1797</v>
      </c>
      <c r="AH500" s="33">
        <f>SUM(D471:D1243)</f>
        <v>827349438.06091404</v>
      </c>
      <c r="AI500" s="213">
        <f t="shared" si="411"/>
        <v>0.22829801777170197</v>
      </c>
      <c r="AJ500" s="50"/>
      <c r="AK500" s="111"/>
      <c r="AL500" s="23">
        <f t="shared" si="412"/>
        <v>19702</v>
      </c>
      <c r="AM500" s="24"/>
      <c r="AN500" s="24"/>
      <c r="AO500" s="24">
        <v>178263</v>
      </c>
      <c r="AP500" s="24">
        <v>29497875</v>
      </c>
      <c r="AQ500" s="24">
        <v>20336656</v>
      </c>
      <c r="AR500" s="461">
        <f t="shared" si="413"/>
        <v>6.6835892441502399E-4</v>
      </c>
      <c r="AS500" s="25"/>
      <c r="AT500" s="25"/>
      <c r="AU500" s="24"/>
      <c r="AV500" s="298">
        <f t="shared" si="414"/>
        <v>0.85128198305619029</v>
      </c>
      <c r="AW500" s="298"/>
      <c r="AX500" s="24">
        <f t="shared" si="415"/>
        <v>60077.138492871687</v>
      </c>
      <c r="AY500" s="308"/>
      <c r="AZ500" s="111"/>
      <c r="BA500" s="65">
        <f t="shared" si="416"/>
        <v>930368</v>
      </c>
      <c r="BB500" s="66"/>
      <c r="BC500" s="66">
        <v>521341856</v>
      </c>
      <c r="BD500" s="66"/>
      <c r="BE500" s="66">
        <f t="shared" si="417"/>
        <v>67485</v>
      </c>
      <c r="BF500" s="66"/>
      <c r="BG500" s="144">
        <f t="shared" si="418"/>
        <v>7.2535813785512826E-2</v>
      </c>
      <c r="BH500" s="66"/>
      <c r="BI500" s="170"/>
      <c r="BJ500" s="66"/>
      <c r="BK500" s="66">
        <f t="shared" si="419"/>
        <v>5277054</v>
      </c>
      <c r="BL500" s="66"/>
      <c r="BM500" s="144">
        <f t="shared" si="420"/>
        <v>5.8522804579979666E-2</v>
      </c>
      <c r="BN500" s="65">
        <f t="shared" si="421"/>
        <v>1061796.0407331975</v>
      </c>
      <c r="BO500" s="66"/>
      <c r="BP500" s="66">
        <f t="shared" si="422"/>
        <v>33744143</v>
      </c>
      <c r="BQ500" s="66"/>
      <c r="BR500" s="435">
        <f t="shared" si="423"/>
        <v>6.4725558885492598E-2</v>
      </c>
      <c r="BS500" s="66"/>
      <c r="BT500" s="75"/>
      <c r="BU500" s="170"/>
      <c r="BV500" s="1"/>
      <c r="BW500" s="61">
        <f t="shared" si="399"/>
        <v>491</v>
      </c>
    </row>
    <row r="501" spans="2:75" x14ac:dyDescent="0.3">
      <c r="B501" s="158">
        <f t="shared" si="398"/>
        <v>44401</v>
      </c>
      <c r="C501" s="61"/>
      <c r="D501" s="17">
        <v>36779</v>
      </c>
      <c r="E501" s="16"/>
      <c r="F501" s="16"/>
      <c r="G501" s="16"/>
      <c r="H501" s="16">
        <f t="shared" si="400"/>
        <v>34687900</v>
      </c>
      <c r="I501" s="16"/>
      <c r="J501" s="436">
        <f t="shared" si="401"/>
        <v>1.061408662651924E-3</v>
      </c>
      <c r="K501" s="16"/>
      <c r="L501" s="16"/>
      <c r="M501" s="16"/>
      <c r="N501" s="16">
        <f t="shared" si="402"/>
        <v>321526</v>
      </c>
      <c r="O501" s="16">
        <f t="shared" si="403"/>
        <v>70503.861788617884</v>
      </c>
      <c r="P501" s="41"/>
      <c r="Q501" s="17">
        <f t="shared" si="404"/>
        <v>321526</v>
      </c>
      <c r="R501" s="16"/>
      <c r="S501" s="60">
        <f t="shared" si="405"/>
        <v>0.58291281637234582</v>
      </c>
      <c r="T501" s="16"/>
      <c r="U501" s="41"/>
      <c r="V501" s="10">
        <f t="shared" si="349"/>
        <v>393</v>
      </c>
      <c r="W501" s="34">
        <v>151</v>
      </c>
      <c r="X501" s="33">
        <v>4256</v>
      </c>
      <c r="Y501" s="33"/>
      <c r="Z501" s="33">
        <f t="shared" si="406"/>
        <v>1753</v>
      </c>
      <c r="AA501" s="33">
        <f t="shared" si="407"/>
        <v>610710</v>
      </c>
      <c r="AB501" s="33"/>
      <c r="AC501" s="46">
        <f t="shared" si="408"/>
        <v>1.7605851031627744E-2</v>
      </c>
      <c r="AD501" s="33"/>
      <c r="AE501" s="33">
        <f t="shared" si="409"/>
        <v>1241.280487804878</v>
      </c>
      <c r="AF501" s="50"/>
      <c r="AG501" s="33">
        <f t="shared" si="410"/>
        <v>1835</v>
      </c>
      <c r="AH501" s="33">
        <f>SUM(D472:D1244)</f>
        <v>827333978.06091404</v>
      </c>
      <c r="AI501" s="213">
        <f t="shared" si="411"/>
        <v>0.25857338820301784</v>
      </c>
      <c r="AJ501" s="50"/>
      <c r="AK501" s="111"/>
      <c r="AL501" s="23">
        <f t="shared" si="412"/>
        <v>9248</v>
      </c>
      <c r="AM501" s="24"/>
      <c r="AN501" s="24"/>
      <c r="AO501" s="24">
        <v>178263</v>
      </c>
      <c r="AP501" s="24">
        <v>29507123</v>
      </c>
      <c r="AQ501" s="24">
        <v>20336656</v>
      </c>
      <c r="AR501" s="461">
        <f t="shared" si="413"/>
        <v>3.1351410906717855E-4</v>
      </c>
      <c r="AS501" s="25"/>
      <c r="AT501" s="25"/>
      <c r="AU501" s="24"/>
      <c r="AV501" s="298">
        <f t="shared" si="414"/>
        <v>0.85064598894715449</v>
      </c>
      <c r="AW501" s="298"/>
      <c r="AX501" s="24">
        <f t="shared" si="415"/>
        <v>59973.827235772354</v>
      </c>
      <c r="AY501" s="308"/>
      <c r="AZ501" s="111"/>
      <c r="BA501" s="65">
        <f t="shared" si="416"/>
        <v>393453</v>
      </c>
      <c r="BB501" s="66"/>
      <c r="BC501" s="66">
        <v>521735309</v>
      </c>
      <c r="BD501" s="66"/>
      <c r="BE501" s="66">
        <f t="shared" si="417"/>
        <v>36779</v>
      </c>
      <c r="BF501" s="66"/>
      <c r="BG501" s="144">
        <f t="shared" si="418"/>
        <v>9.3477492864459027E-2</v>
      </c>
      <c r="BH501" s="66"/>
      <c r="BI501" s="170"/>
      <c r="BJ501" s="66"/>
      <c r="BK501" s="66">
        <f t="shared" si="419"/>
        <v>5457647</v>
      </c>
      <c r="BL501" s="66"/>
      <c r="BM501" s="144">
        <f t="shared" si="420"/>
        <v>5.8912934456918892E-2</v>
      </c>
      <c r="BN501" s="65">
        <f t="shared" si="421"/>
        <v>1060437.6199186991</v>
      </c>
      <c r="BO501" s="66"/>
      <c r="BP501" s="66">
        <f t="shared" si="422"/>
        <v>33780922</v>
      </c>
      <c r="BQ501" s="66"/>
      <c r="BR501" s="435">
        <f t="shared" si="423"/>
        <v>6.4747241402440717E-2</v>
      </c>
      <c r="BS501" s="66"/>
      <c r="BT501" s="75"/>
      <c r="BU501" s="170"/>
      <c r="BV501" s="1"/>
      <c r="BW501" s="61">
        <f t="shared" si="399"/>
        <v>492</v>
      </c>
    </row>
    <row r="502" spans="2:75" x14ac:dyDescent="0.3">
      <c r="B502" s="347">
        <f t="shared" si="398"/>
        <v>44402</v>
      </c>
      <c r="C502" s="61"/>
      <c r="D502" s="17">
        <v>13818</v>
      </c>
      <c r="E502" s="16"/>
      <c r="F502" s="16"/>
      <c r="G502" s="16"/>
      <c r="H502" s="16">
        <f t="shared" si="400"/>
        <v>34701718</v>
      </c>
      <c r="I502" s="16"/>
      <c r="J502" s="436">
        <f t="shared" si="401"/>
        <v>3.9835216314622676E-4</v>
      </c>
      <c r="K502" s="16"/>
      <c r="L502" s="16"/>
      <c r="M502" s="16"/>
      <c r="N502" s="16">
        <f t="shared" si="402"/>
        <v>313066</v>
      </c>
      <c r="O502" s="16">
        <f t="shared" si="403"/>
        <v>70388.880324543614</v>
      </c>
      <c r="P502" s="41"/>
      <c r="Q502" s="17">
        <f t="shared" si="404"/>
        <v>313066</v>
      </c>
      <c r="R502" s="16"/>
      <c r="S502" s="60">
        <f t="shared" si="405"/>
        <v>0.43109997760092156</v>
      </c>
      <c r="T502" s="16"/>
      <c r="U502" s="41"/>
      <c r="V502" s="10">
        <f t="shared" si="349"/>
        <v>394</v>
      </c>
      <c r="W502" s="34">
        <v>49</v>
      </c>
      <c r="X502" s="33">
        <v>4256</v>
      </c>
      <c r="Y502" s="33"/>
      <c r="Z502" s="33">
        <f t="shared" si="406"/>
        <v>1665</v>
      </c>
      <c r="AA502" s="33">
        <f t="shared" si="407"/>
        <v>610759</v>
      </c>
      <c r="AB502" s="33"/>
      <c r="AC502" s="46">
        <f t="shared" si="408"/>
        <v>1.7600252529283995E-2</v>
      </c>
      <c r="AD502" s="33"/>
      <c r="AE502" s="33">
        <f t="shared" si="409"/>
        <v>1238.8620689655172</v>
      </c>
      <c r="AF502" s="50"/>
      <c r="AG502" s="33">
        <f t="shared" si="410"/>
        <v>1802</v>
      </c>
      <c r="AH502" s="33">
        <f>SUM(D473:D1245)</f>
        <v>827318441.06091404</v>
      </c>
      <c r="AI502" s="213">
        <f t="shared" si="411"/>
        <v>0.19101123595505617</v>
      </c>
      <c r="AJ502" s="50"/>
      <c r="AK502" s="111"/>
      <c r="AL502" s="23">
        <f t="shared" si="412"/>
        <v>4786</v>
      </c>
      <c r="AM502" s="24"/>
      <c r="AN502" s="24"/>
      <c r="AO502" s="24">
        <v>178263</v>
      </c>
      <c r="AP502" s="24">
        <v>29511909</v>
      </c>
      <c r="AQ502" s="24">
        <v>20336656</v>
      </c>
      <c r="AR502" s="461">
        <f t="shared" si="413"/>
        <v>1.6219812416141011E-4</v>
      </c>
      <c r="AS502" s="25"/>
      <c r="AT502" s="25"/>
      <c r="AU502" s="24"/>
      <c r="AV502" s="298">
        <f t="shared" si="414"/>
        <v>0.85044518545162517</v>
      </c>
      <c r="AW502" s="298"/>
      <c r="AX502" s="24">
        <f t="shared" si="415"/>
        <v>59861.884381338743</v>
      </c>
      <c r="AY502" s="308"/>
      <c r="AZ502" s="111"/>
      <c r="BA502" s="65">
        <f t="shared" si="416"/>
        <v>1873647</v>
      </c>
      <c r="BB502" s="66"/>
      <c r="BC502" s="66">
        <v>523608956</v>
      </c>
      <c r="BD502" s="66"/>
      <c r="BE502" s="66">
        <f t="shared" si="417"/>
        <v>13818</v>
      </c>
      <c r="BF502" s="66"/>
      <c r="BG502" s="144">
        <f t="shared" si="418"/>
        <v>7.3749217435301311E-3</v>
      </c>
      <c r="BH502" s="66"/>
      <c r="BI502" s="170"/>
      <c r="BJ502" s="66"/>
      <c r="BK502" s="66">
        <f t="shared" si="419"/>
        <v>6238420</v>
      </c>
      <c r="BL502" s="66"/>
      <c r="BM502" s="144">
        <f t="shared" si="420"/>
        <v>5.0183540063028782E-2</v>
      </c>
      <c r="BN502" s="65">
        <f t="shared" si="421"/>
        <v>1062087.1318458419</v>
      </c>
      <c r="BO502" s="66"/>
      <c r="BP502" s="66">
        <f t="shared" si="422"/>
        <v>33794740</v>
      </c>
      <c r="BQ502" s="66"/>
      <c r="BR502" s="435">
        <f t="shared" si="423"/>
        <v>6.4541944160328685E-2</v>
      </c>
      <c r="BS502" s="66"/>
      <c r="BT502" s="75"/>
      <c r="BU502" s="170"/>
      <c r="BV502" s="1"/>
      <c r="BW502" s="61">
        <f t="shared" si="399"/>
        <v>493</v>
      </c>
    </row>
    <row r="503" spans="2:75" x14ac:dyDescent="0.3">
      <c r="B503" s="158">
        <f t="shared" si="398"/>
        <v>44403</v>
      </c>
      <c r="C503" s="61"/>
      <c r="D503" s="17">
        <v>35816</v>
      </c>
      <c r="E503" s="16"/>
      <c r="F503" s="16"/>
      <c r="G503" s="16"/>
      <c r="H503" s="16">
        <f t="shared" si="400"/>
        <v>34737534</v>
      </c>
      <c r="I503" s="16"/>
      <c r="J503" s="436">
        <f t="shared" si="401"/>
        <v>1.0321102834159393E-3</v>
      </c>
      <c r="K503" s="16"/>
      <c r="L503" s="16"/>
      <c r="M503" s="16"/>
      <c r="N503" s="16">
        <f t="shared" si="402"/>
        <v>316306</v>
      </c>
      <c r="O503" s="16">
        <f t="shared" si="403"/>
        <v>70318.894736842107</v>
      </c>
      <c r="P503" s="41"/>
      <c r="Q503" s="17">
        <f t="shared" si="404"/>
        <v>316306</v>
      </c>
      <c r="R503" s="16"/>
      <c r="S503" s="60">
        <f t="shared" si="405"/>
        <v>0.36728351034628837</v>
      </c>
      <c r="T503" s="16"/>
      <c r="U503" s="41"/>
      <c r="V503" s="10">
        <f t="shared" si="349"/>
        <v>395</v>
      </c>
      <c r="W503" s="34">
        <v>132</v>
      </c>
      <c r="X503" s="33">
        <v>4256</v>
      </c>
      <c r="Y503" s="33"/>
      <c r="Z503" s="33">
        <f t="shared" si="406"/>
        <v>1541</v>
      </c>
      <c r="AA503" s="33">
        <f t="shared" si="407"/>
        <v>610891</v>
      </c>
      <c r="AB503" s="33"/>
      <c r="AC503" s="46">
        <f t="shared" si="408"/>
        <v>1.7585905781337272E-2</v>
      </c>
      <c r="AD503" s="33"/>
      <c r="AE503" s="33">
        <f t="shared" si="409"/>
        <v>1236.6214574898786</v>
      </c>
      <c r="AF503" s="50"/>
      <c r="AG503" s="33">
        <f t="shared" si="410"/>
        <v>1797</v>
      </c>
      <c r="AH503" s="33">
        <f>SUM(D474:D1246)</f>
        <v>827311855.06091404</v>
      </c>
      <c r="AI503" s="213">
        <f t="shared" si="411"/>
        <v>0.20847343644922664</v>
      </c>
      <c r="AJ503" s="50"/>
      <c r="AK503" s="111"/>
      <c r="AL503" s="23">
        <f t="shared" si="412"/>
        <v>36559</v>
      </c>
      <c r="AM503" s="24"/>
      <c r="AN503" s="24"/>
      <c r="AO503" s="24">
        <v>178263</v>
      </c>
      <c r="AP503" s="24">
        <v>29548468</v>
      </c>
      <c r="AQ503" s="24">
        <v>20336656</v>
      </c>
      <c r="AR503" s="461">
        <f t="shared" si="413"/>
        <v>1.2387880431591193E-3</v>
      </c>
      <c r="AS503" s="25"/>
      <c r="AT503" s="25"/>
      <c r="AU503" s="24"/>
      <c r="AV503" s="298">
        <f t="shared" si="414"/>
        <v>0.85062077233231348</v>
      </c>
      <c r="AW503" s="298"/>
      <c r="AX503" s="24">
        <f t="shared" si="415"/>
        <v>59814.712550607284</v>
      </c>
      <c r="AY503" s="308"/>
      <c r="AZ503" s="111"/>
      <c r="BA503" s="65">
        <f t="shared" si="416"/>
        <v>2374930</v>
      </c>
      <c r="BB503" s="66"/>
      <c r="BC503" s="66">
        <v>525983886</v>
      </c>
      <c r="BD503" s="66"/>
      <c r="BE503" s="66">
        <f t="shared" si="417"/>
        <v>35816</v>
      </c>
      <c r="BF503" s="66"/>
      <c r="BG503" s="144">
        <f t="shared" si="418"/>
        <v>1.5080865541300165E-2</v>
      </c>
      <c r="BH503" s="66"/>
      <c r="BI503" s="170"/>
      <c r="BJ503" s="66"/>
      <c r="BK503" s="66">
        <f t="shared" si="419"/>
        <v>7998724</v>
      </c>
      <c r="BL503" s="66"/>
      <c r="BM503" s="144">
        <f t="shared" si="420"/>
        <v>3.9544557356898428E-2</v>
      </c>
      <c r="BN503" s="65">
        <f t="shared" si="421"/>
        <v>1064744.7085020242</v>
      </c>
      <c r="BO503" s="66"/>
      <c r="BP503" s="66">
        <f t="shared" si="422"/>
        <v>33830556</v>
      </c>
      <c r="BQ503" s="66"/>
      <c r="BR503" s="435">
        <f t="shared" si="423"/>
        <v>6.4318616787435196E-2</v>
      </c>
      <c r="BS503" s="66"/>
      <c r="BT503" s="75"/>
      <c r="BU503" s="170"/>
      <c r="BV503" s="1"/>
      <c r="BW503" s="61">
        <f t="shared" si="399"/>
        <v>494</v>
      </c>
    </row>
    <row r="504" spans="2:75" x14ac:dyDescent="0.3">
      <c r="B504" s="158">
        <f t="shared" si="398"/>
        <v>44404</v>
      </c>
      <c r="C504" s="61"/>
      <c r="D504" s="17">
        <v>61581</v>
      </c>
      <c r="E504" s="16"/>
      <c r="F504" s="16"/>
      <c r="G504" s="16"/>
      <c r="H504" s="16">
        <f t="shared" ref="H504:H535" si="424">+H503+D504</f>
        <v>34799115</v>
      </c>
      <c r="I504" s="16"/>
      <c r="J504" s="436">
        <f t="shared" ref="J504:J535" si="425">+D504/H503</f>
        <v>1.7727510536585584E-3</v>
      </c>
      <c r="K504" s="16"/>
      <c r="L504" s="16"/>
      <c r="M504" s="16"/>
      <c r="N504" s="16">
        <f t="shared" ref="N504:N535" si="426">SUM(D498:D504)</f>
        <v>333655</v>
      </c>
      <c r="O504" s="16">
        <f t="shared" ref="O504:O535" si="427">+H504/BW504</f>
        <v>70301.242424242431</v>
      </c>
      <c r="P504" s="41"/>
      <c r="Q504" s="17">
        <f t="shared" ref="Q504:Q535" si="428">SUM(D498:D504)</f>
        <v>333655</v>
      </c>
      <c r="R504" s="16"/>
      <c r="S504" s="60">
        <f t="shared" ref="S504:S535" si="429">+(Q504-Q497)/Q497</f>
        <v>0.41488951178244149</v>
      </c>
      <c r="T504" s="16"/>
      <c r="U504" s="41"/>
      <c r="V504" s="10">
        <f t="shared" si="349"/>
        <v>396</v>
      </c>
      <c r="W504" s="34">
        <v>339</v>
      </c>
      <c r="X504" s="33">
        <v>4256</v>
      </c>
      <c r="Y504" s="33"/>
      <c r="Z504" s="33">
        <f t="shared" ref="Z504:Z535" si="430">SUM(W499:W504)</f>
        <v>1464</v>
      </c>
      <c r="AA504" s="33">
        <f t="shared" ref="AA504:AA535" si="431">+AA503+W504</f>
        <v>611230</v>
      </c>
      <c r="AB504" s="33"/>
      <c r="AC504" s="46">
        <f t="shared" ref="AC504:AC535" si="432">+AA504/H504</f>
        <v>1.7564527143865583E-2</v>
      </c>
      <c r="AD504" s="33"/>
      <c r="AE504" s="33">
        <f t="shared" ref="AE504:AE535" si="433">+AA504/BW504</f>
        <v>1234.8080808080808</v>
      </c>
      <c r="AF504" s="50"/>
      <c r="AG504" s="33">
        <f t="shared" ref="AG504:AG535" si="434">SUM(W498:W504)</f>
        <v>1880</v>
      </c>
      <c r="AH504" s="33">
        <f>SUM(D475:D1247)</f>
        <v>827304549.06091404</v>
      </c>
      <c r="AI504" s="213">
        <f t="shared" ref="AI504:AI535" si="435">+(AG504-AG497)/AG497</f>
        <v>0.19592875318066158</v>
      </c>
      <c r="AJ504" s="50"/>
      <c r="AK504" s="111"/>
      <c r="AL504" s="23">
        <f t="shared" ref="AL504:AL535" si="436">+AP504-AP503</f>
        <v>22966</v>
      </c>
      <c r="AM504" s="24"/>
      <c r="AN504" s="24"/>
      <c r="AO504" s="24">
        <v>178263</v>
      </c>
      <c r="AP504" s="24">
        <v>29571434</v>
      </c>
      <c r="AQ504" s="24">
        <v>20336656</v>
      </c>
      <c r="AR504" s="461">
        <f t="shared" ref="AR504:AR535" si="437">+AL504/AP503</f>
        <v>7.7723149640109934E-4</v>
      </c>
      <c r="AS504" s="25"/>
      <c r="AT504" s="25"/>
      <c r="AU504" s="24"/>
      <c r="AV504" s="298">
        <f t="shared" ref="AV504:AV535" si="438">+AP504/H504</f>
        <v>0.84977546124377012</v>
      </c>
      <c r="AW504" s="298"/>
      <c r="AX504" s="24">
        <f t="shared" ref="AX504:AX535" si="439">+AP504/BW504</f>
        <v>59740.270707070704</v>
      </c>
      <c r="AY504" s="308"/>
      <c r="AZ504" s="111"/>
      <c r="BA504" s="65">
        <f t="shared" ref="BA504:BA535" si="440">+BC504-BC503</f>
        <v>892346</v>
      </c>
      <c r="BB504" s="66"/>
      <c r="BC504" s="66">
        <v>526876232</v>
      </c>
      <c r="BD504" s="66"/>
      <c r="BE504" s="66">
        <f t="shared" ref="BE504:BE535" si="441">+D504</f>
        <v>61581</v>
      </c>
      <c r="BF504" s="66"/>
      <c r="BG504" s="144">
        <f t="shared" ref="BG504:BG535" si="442">+BE504/BA504</f>
        <v>6.9010226974738492E-2</v>
      </c>
      <c r="BH504" s="66"/>
      <c r="BI504" s="170"/>
      <c r="BJ504" s="66"/>
      <c r="BK504" s="66">
        <f t="shared" ref="BK504:BK535" si="443">SUM(BA498:BA504)</f>
        <v>8218001</v>
      </c>
      <c r="BL504" s="66"/>
      <c r="BM504" s="144">
        <f t="shared" ref="BM504:BM535" si="444">+Q504/BK504</f>
        <v>4.060050613281746E-2</v>
      </c>
      <c r="BN504" s="65">
        <f t="shared" ref="BN504:BN535" si="445">+BC504/BW504</f>
        <v>1064396.4282828283</v>
      </c>
      <c r="BO504" s="66"/>
      <c r="BP504" s="66">
        <f t="shared" ref="BP504:BP535" si="446">+BP503+BE504</f>
        <v>33892137</v>
      </c>
      <c r="BQ504" s="66"/>
      <c r="BR504" s="435">
        <f t="shared" ref="BR504:BR535" si="447">+BP504/BC504</f>
        <v>6.4326562751458483E-2</v>
      </c>
      <c r="BS504" s="66"/>
      <c r="BT504" s="75"/>
      <c r="BU504" s="170"/>
      <c r="BV504" s="1"/>
      <c r="BW504" s="61">
        <f t="shared" si="399"/>
        <v>495</v>
      </c>
    </row>
    <row r="505" spans="2:75" x14ac:dyDescent="0.3">
      <c r="B505" s="158">
        <f t="shared" si="398"/>
        <v>44405</v>
      </c>
      <c r="C505" s="61"/>
      <c r="D505" s="17">
        <v>84534</v>
      </c>
      <c r="E505" s="16"/>
      <c r="F505" s="16"/>
      <c r="G505" s="16"/>
      <c r="H505" s="16">
        <f t="shared" si="424"/>
        <v>34883649</v>
      </c>
      <c r="I505" s="16"/>
      <c r="J505" s="436">
        <f t="shared" si="425"/>
        <v>2.4291997080960249E-3</v>
      </c>
      <c r="K505" s="16"/>
      <c r="L505" s="16"/>
      <c r="M505" s="16"/>
      <c r="N505" s="16">
        <f t="shared" si="426"/>
        <v>361664</v>
      </c>
      <c r="O505" s="16">
        <f t="shared" si="427"/>
        <v>70329.9375</v>
      </c>
      <c r="P505" s="41"/>
      <c r="Q505" s="17">
        <f t="shared" si="428"/>
        <v>361664</v>
      </c>
      <c r="R505" s="16"/>
      <c r="S505" s="60">
        <f t="shared" si="429"/>
        <v>0.40782810097510658</v>
      </c>
      <c r="T505" s="16"/>
      <c r="U505" s="41"/>
      <c r="V505" s="10">
        <f t="shared" si="349"/>
        <v>397</v>
      </c>
      <c r="W505" s="34">
        <v>483</v>
      </c>
      <c r="X505" s="33">
        <v>4256</v>
      </c>
      <c r="Y505" s="33"/>
      <c r="Z505" s="33">
        <f t="shared" si="430"/>
        <v>1582</v>
      </c>
      <c r="AA505" s="33">
        <f t="shared" si="431"/>
        <v>611713</v>
      </c>
      <c r="AB505" s="33"/>
      <c r="AC505" s="46">
        <f t="shared" si="432"/>
        <v>1.7535808825504463E-2</v>
      </c>
      <c r="AD505" s="33"/>
      <c r="AE505" s="33">
        <f t="shared" si="433"/>
        <v>1233.2923387096773</v>
      </c>
      <c r="AF505" s="50"/>
      <c r="AG505" s="33">
        <f t="shared" si="434"/>
        <v>1947</v>
      </c>
      <c r="AH505" s="33">
        <f>SUM(D476:D1248)</f>
        <v>827292567.06091404</v>
      </c>
      <c r="AI505" s="213">
        <f t="shared" si="435"/>
        <v>0.18647166361974407</v>
      </c>
      <c r="AJ505" s="50"/>
      <c r="AK505" s="111"/>
      <c r="AL505" s="23">
        <f t="shared" si="436"/>
        <v>32524</v>
      </c>
      <c r="AM505" s="24"/>
      <c r="AN505" s="24"/>
      <c r="AO505" s="24">
        <v>178263</v>
      </c>
      <c r="AP505" s="24">
        <v>29603958</v>
      </c>
      <c r="AQ505" s="24">
        <v>20336656</v>
      </c>
      <c r="AR505" s="461">
        <f t="shared" si="437"/>
        <v>1.0998452087240679E-3</v>
      </c>
      <c r="AS505" s="25"/>
      <c r="AT505" s="25"/>
      <c r="AU505" s="24"/>
      <c r="AV505" s="298">
        <f t="shared" si="438"/>
        <v>0.84864854591330163</v>
      </c>
      <c r="AW505" s="298"/>
      <c r="AX505" s="24">
        <f t="shared" si="439"/>
        <v>59685.399193548386</v>
      </c>
      <c r="AY505" s="308"/>
      <c r="AZ505" s="111"/>
      <c r="BA505" s="65">
        <f t="shared" si="440"/>
        <v>204920</v>
      </c>
      <c r="BB505" s="66"/>
      <c r="BC505" s="66">
        <v>527081152</v>
      </c>
      <c r="BD505" s="66"/>
      <c r="BE505" s="66">
        <f t="shared" si="441"/>
        <v>84534</v>
      </c>
      <c r="BF505" s="66"/>
      <c r="BG505" s="144">
        <f t="shared" si="442"/>
        <v>0.41252195978918604</v>
      </c>
      <c r="BH505" s="66"/>
      <c r="BI505" s="170"/>
      <c r="BJ505" s="66"/>
      <c r="BK505" s="66">
        <f t="shared" si="443"/>
        <v>7600901</v>
      </c>
      <c r="BL505" s="66"/>
      <c r="BM505" s="144">
        <f t="shared" si="444"/>
        <v>4.7581727482044561E-2</v>
      </c>
      <c r="BN505" s="65">
        <f t="shared" si="445"/>
        <v>1062663.6129032257</v>
      </c>
      <c r="BO505" s="66"/>
      <c r="BP505" s="66">
        <f t="shared" si="446"/>
        <v>33976671</v>
      </c>
      <c r="BQ505" s="66"/>
      <c r="BR505" s="435">
        <f t="shared" si="447"/>
        <v>6.4461935075986174E-2</v>
      </c>
      <c r="BS505" s="66"/>
      <c r="BT505" s="75"/>
      <c r="BU505" s="170"/>
      <c r="BV505" s="1"/>
      <c r="BW505" s="61">
        <f t="shared" si="399"/>
        <v>496</v>
      </c>
    </row>
    <row r="506" spans="2:75" x14ac:dyDescent="0.3">
      <c r="B506" s="158">
        <f t="shared" si="398"/>
        <v>44406</v>
      </c>
      <c r="C506" s="61"/>
      <c r="D506" s="17">
        <v>84513</v>
      </c>
      <c r="E506" s="16"/>
      <c r="F506" s="16"/>
      <c r="G506" s="16"/>
      <c r="H506" s="16">
        <f t="shared" si="424"/>
        <v>34968162</v>
      </c>
      <c r="I506" s="16"/>
      <c r="J506" s="436">
        <f t="shared" si="425"/>
        <v>2.422710995630073E-3</v>
      </c>
      <c r="K506" s="16"/>
      <c r="L506" s="16"/>
      <c r="M506" s="16"/>
      <c r="N506" s="16">
        <f t="shared" si="426"/>
        <v>384526</v>
      </c>
      <c r="O506" s="16">
        <f t="shared" si="427"/>
        <v>70358.474849094564</v>
      </c>
      <c r="P506" s="41"/>
      <c r="Q506" s="17">
        <f t="shared" si="428"/>
        <v>384526</v>
      </c>
      <c r="R506" s="16"/>
      <c r="S506" s="60">
        <f t="shared" si="429"/>
        <v>0.36418658114321395</v>
      </c>
      <c r="T506" s="16"/>
      <c r="U506" s="41"/>
      <c r="V506" s="10">
        <f t="shared" si="349"/>
        <v>398</v>
      </c>
      <c r="W506" s="34">
        <v>485</v>
      </c>
      <c r="X506" s="33">
        <v>4256</v>
      </c>
      <c r="Y506" s="33"/>
      <c r="Z506" s="33">
        <f t="shared" si="430"/>
        <v>1639</v>
      </c>
      <c r="AA506" s="33">
        <f t="shared" si="431"/>
        <v>612198</v>
      </c>
      <c r="AB506" s="33"/>
      <c r="AC506" s="46">
        <f t="shared" si="432"/>
        <v>1.7507297066400002E-2</v>
      </c>
      <c r="AD506" s="33"/>
      <c r="AE506" s="33">
        <f t="shared" si="433"/>
        <v>1231.7867203219316</v>
      </c>
      <c r="AF506" s="50"/>
      <c r="AG506" s="33">
        <f t="shared" si="434"/>
        <v>2067</v>
      </c>
      <c r="AH506" s="33">
        <f>SUM(D477:D1249)</f>
        <v>827281140.06091404</v>
      </c>
      <c r="AI506" s="213">
        <f t="shared" si="435"/>
        <v>0.24368231046931407</v>
      </c>
      <c r="AJ506" s="50"/>
      <c r="AK506" s="111" t="s">
        <v>26</v>
      </c>
      <c r="AL506" s="23">
        <f t="shared" si="436"/>
        <v>46042</v>
      </c>
      <c r="AM506" s="24"/>
      <c r="AN506" s="24"/>
      <c r="AO506" s="24">
        <v>178263</v>
      </c>
      <c r="AP506" s="24">
        <v>29650000</v>
      </c>
      <c r="AQ506" s="24">
        <v>20336656</v>
      </c>
      <c r="AR506" s="461">
        <f t="shared" si="437"/>
        <v>1.5552650088207799E-3</v>
      </c>
      <c r="AS506" s="25"/>
      <c r="AT506" s="25"/>
      <c r="AU506" s="24"/>
      <c r="AV506" s="298">
        <f t="shared" si="438"/>
        <v>0.84791416832260158</v>
      </c>
      <c r="AW506" s="298"/>
      <c r="AX506" s="24">
        <f t="shared" si="439"/>
        <v>59657.947686116699</v>
      </c>
      <c r="AY506" s="308"/>
      <c r="AZ506" s="111" t="s">
        <v>26</v>
      </c>
      <c r="BA506" s="65">
        <f t="shared" si="440"/>
        <v>218848</v>
      </c>
      <c r="BB506" s="66"/>
      <c r="BC506" s="66">
        <v>527300000</v>
      </c>
      <c r="BD506" s="66"/>
      <c r="BE506" s="66">
        <f t="shared" si="441"/>
        <v>84513</v>
      </c>
      <c r="BF506" s="66"/>
      <c r="BG506" s="144">
        <f t="shared" si="442"/>
        <v>0.38617213773943559</v>
      </c>
      <c r="BH506" s="66"/>
      <c r="BI506" s="170"/>
      <c r="BJ506" s="66"/>
      <c r="BK506" s="66">
        <f t="shared" si="443"/>
        <v>6888512</v>
      </c>
      <c r="BL506" s="66"/>
      <c r="BM506" s="144">
        <f t="shared" si="444"/>
        <v>5.5821344290319881E-2</v>
      </c>
      <c r="BN506" s="65">
        <f t="shared" si="445"/>
        <v>1060965.7947686117</v>
      </c>
      <c r="BO506" s="66"/>
      <c r="BP506" s="66">
        <f t="shared" si="446"/>
        <v>34061184</v>
      </c>
      <c r="BQ506" s="66"/>
      <c r="BR506" s="435">
        <f t="shared" si="447"/>
        <v>6.4595456097098422E-2</v>
      </c>
      <c r="BS506" s="66"/>
      <c r="BT506" s="75"/>
      <c r="BU506" s="170"/>
      <c r="BV506" s="1"/>
      <c r="BW506" s="61">
        <f t="shared" si="399"/>
        <v>497</v>
      </c>
    </row>
    <row r="507" spans="2:75" x14ac:dyDescent="0.3">
      <c r="B507" s="158">
        <f t="shared" si="398"/>
        <v>44407</v>
      </c>
      <c r="C507" s="61"/>
      <c r="D507" s="17">
        <v>101098</v>
      </c>
      <c r="E507" s="16"/>
      <c r="F507" s="16"/>
      <c r="G507" s="16"/>
      <c r="H507" s="16">
        <f t="shared" si="424"/>
        <v>35069260</v>
      </c>
      <c r="I507" s="16"/>
      <c r="J507" s="436">
        <f t="shared" si="425"/>
        <v>2.8911442357193382E-3</v>
      </c>
      <c r="K507" s="16"/>
      <c r="L507" s="16"/>
      <c r="M507" s="16"/>
      <c r="N507" s="16">
        <f t="shared" si="426"/>
        <v>418139</v>
      </c>
      <c r="O507" s="16">
        <f t="shared" si="427"/>
        <v>70420.200803212851</v>
      </c>
      <c r="P507" s="41"/>
      <c r="Q507" s="17">
        <f t="shared" si="428"/>
        <v>418139</v>
      </c>
      <c r="R507" s="16"/>
      <c r="S507" s="60">
        <f t="shared" si="429"/>
        <v>0.35395430466149441</v>
      </c>
      <c r="T507" s="16"/>
      <c r="U507" s="41"/>
      <c r="V507" s="10">
        <f t="shared" si="349"/>
        <v>399</v>
      </c>
      <c r="W507" s="34">
        <v>429</v>
      </c>
      <c r="X507" s="33">
        <v>4256</v>
      </c>
      <c r="Y507" s="33"/>
      <c r="Z507" s="33">
        <f t="shared" si="430"/>
        <v>1917</v>
      </c>
      <c r="AA507" s="33">
        <f t="shared" si="431"/>
        <v>612627</v>
      </c>
      <c r="AB507" s="33"/>
      <c r="AC507" s="46">
        <f t="shared" si="432"/>
        <v>1.7469059797668957E-2</v>
      </c>
      <c r="AD507" s="33"/>
      <c r="AE507" s="33">
        <f t="shared" si="433"/>
        <v>1230.1746987951808</v>
      </c>
      <c r="AF507" s="50"/>
      <c r="AG507" s="33">
        <f t="shared" si="434"/>
        <v>2068</v>
      </c>
      <c r="AH507" s="33">
        <f>SUM(D478:D1250)</f>
        <v>827266943.06091404</v>
      </c>
      <c r="AI507" s="213">
        <f t="shared" si="435"/>
        <v>0.15080690038953812</v>
      </c>
      <c r="AJ507" s="50"/>
      <c r="AK507" s="111" t="s">
        <v>26</v>
      </c>
      <c r="AL507" s="23">
        <f t="shared" si="436"/>
        <v>2038</v>
      </c>
      <c r="AM507" s="24"/>
      <c r="AN507" s="24"/>
      <c r="AO507" s="24">
        <v>178263</v>
      </c>
      <c r="AP507" s="24">
        <v>29652038</v>
      </c>
      <c r="AQ507" s="24">
        <v>20336656</v>
      </c>
      <c r="AR507" s="461">
        <f t="shared" si="437"/>
        <v>6.8735244519392918E-5</v>
      </c>
      <c r="AS507" s="25"/>
      <c r="AT507" s="25"/>
      <c r="AU507" s="24"/>
      <c r="AV507" s="298">
        <f t="shared" si="438"/>
        <v>0.84552790677647605</v>
      </c>
      <c r="AW507" s="298"/>
      <c r="AX507" s="24">
        <f t="shared" si="439"/>
        <v>59542.244979919677</v>
      </c>
      <c r="AY507" s="308"/>
      <c r="AZ507" s="111" t="s">
        <v>26</v>
      </c>
      <c r="BA507" s="65">
        <f t="shared" si="440"/>
        <v>1878910</v>
      </c>
      <c r="BB507" s="66"/>
      <c r="BC507" s="66">
        <v>529178910</v>
      </c>
      <c r="BD507" s="66"/>
      <c r="BE507" s="66">
        <f t="shared" si="441"/>
        <v>101098</v>
      </c>
      <c r="BF507" s="66"/>
      <c r="BG507" s="144">
        <f t="shared" si="442"/>
        <v>5.3806728369107618E-2</v>
      </c>
      <c r="BH507" s="66"/>
      <c r="BI507" s="170"/>
      <c r="BJ507" s="66"/>
      <c r="BK507" s="66">
        <f t="shared" si="443"/>
        <v>7837054</v>
      </c>
      <c r="BL507" s="66"/>
      <c r="BM507" s="144">
        <f t="shared" si="444"/>
        <v>5.3354104743950977E-2</v>
      </c>
      <c r="BN507" s="65">
        <f t="shared" si="445"/>
        <v>1062608.2530120481</v>
      </c>
      <c r="BO507" s="66"/>
      <c r="BP507" s="66">
        <f t="shared" si="446"/>
        <v>34162282</v>
      </c>
      <c r="BQ507" s="66"/>
      <c r="BR507" s="435">
        <f t="shared" si="447"/>
        <v>6.4557149490330215E-2</v>
      </c>
      <c r="BS507" s="66"/>
      <c r="BT507" s="75"/>
      <c r="BU507" s="170"/>
      <c r="BV507" s="1"/>
      <c r="BW507" s="61">
        <f t="shared" si="399"/>
        <v>498</v>
      </c>
    </row>
    <row r="508" spans="2:75" x14ac:dyDescent="0.3">
      <c r="B508" s="158">
        <f t="shared" si="398"/>
        <v>44408</v>
      </c>
      <c r="C508" s="61"/>
      <c r="D508" s="17">
        <v>51898</v>
      </c>
      <c r="E508" s="16"/>
      <c r="F508" s="16"/>
      <c r="G508" s="16"/>
      <c r="H508" s="16">
        <f t="shared" si="424"/>
        <v>35121158</v>
      </c>
      <c r="I508" s="16"/>
      <c r="J508" s="436">
        <f t="shared" si="425"/>
        <v>1.4798715456214361E-3</v>
      </c>
      <c r="K508" s="16"/>
      <c r="L508" s="16"/>
      <c r="M508" s="16"/>
      <c r="N508" s="16">
        <f t="shared" si="426"/>
        <v>433258</v>
      </c>
      <c r="O508" s="16">
        <f t="shared" si="427"/>
        <v>70383.082164328662</v>
      </c>
      <c r="P508" s="41"/>
      <c r="Q508" s="17">
        <f t="shared" si="428"/>
        <v>433258</v>
      </c>
      <c r="R508" s="16"/>
      <c r="S508" s="60">
        <f t="shared" si="429"/>
        <v>0.34750533393877947</v>
      </c>
      <c r="T508" s="16"/>
      <c r="U508" s="41"/>
      <c r="V508" s="10">
        <f t="shared" si="349"/>
        <v>400</v>
      </c>
      <c r="W508" s="34">
        <v>241</v>
      </c>
      <c r="X508" s="33">
        <v>4256</v>
      </c>
      <c r="Y508" s="33"/>
      <c r="Z508" s="33">
        <f t="shared" si="430"/>
        <v>2109</v>
      </c>
      <c r="AA508" s="33">
        <f t="shared" si="431"/>
        <v>612868</v>
      </c>
      <c r="AB508" s="33"/>
      <c r="AC508" s="46">
        <f t="shared" si="432"/>
        <v>1.7450107994730697E-2</v>
      </c>
      <c r="AD508" s="33"/>
      <c r="AE508" s="33">
        <f t="shared" si="433"/>
        <v>1228.1923847695391</v>
      </c>
      <c r="AF508" s="50"/>
      <c r="AG508" s="33">
        <f t="shared" si="434"/>
        <v>2158</v>
      </c>
      <c r="AH508" s="33">
        <f>SUM(D479:D1251)</f>
        <v>827249994.06091404</v>
      </c>
      <c r="AI508" s="213">
        <f t="shared" si="435"/>
        <v>0.17602179836512261</v>
      </c>
      <c r="AJ508" s="50"/>
      <c r="AK508" s="111"/>
      <c r="AL508" s="23">
        <f t="shared" si="436"/>
        <v>14079</v>
      </c>
      <c r="AM508" s="24"/>
      <c r="AN508" s="24"/>
      <c r="AO508" s="24">
        <v>178263</v>
      </c>
      <c r="AP508" s="24">
        <v>29666117</v>
      </c>
      <c r="AQ508" s="24">
        <v>20336656</v>
      </c>
      <c r="AR508" s="461">
        <f t="shared" si="437"/>
        <v>4.7480716165276734E-4</v>
      </c>
      <c r="AS508" s="25"/>
      <c r="AT508" s="25"/>
      <c r="AU508" s="24"/>
      <c r="AV508" s="298">
        <f t="shared" si="438"/>
        <v>0.84467935254298843</v>
      </c>
      <c r="AW508" s="298"/>
      <c r="AX508" s="24">
        <f t="shared" si="439"/>
        <v>59451.136272545089</v>
      </c>
      <c r="AY508" s="308"/>
      <c r="AZ508" s="111"/>
      <c r="BA508" s="65">
        <f t="shared" si="440"/>
        <v>500910</v>
      </c>
      <c r="BB508" s="66"/>
      <c r="BC508" s="66">
        <v>529679820</v>
      </c>
      <c r="BD508" s="66"/>
      <c r="BE508" s="66">
        <f t="shared" si="441"/>
        <v>51898</v>
      </c>
      <c r="BF508" s="66"/>
      <c r="BG508" s="144">
        <f t="shared" si="442"/>
        <v>0.10360743446926593</v>
      </c>
      <c r="BH508" s="66"/>
      <c r="BI508" s="170"/>
      <c r="BJ508" s="66"/>
      <c r="BK508" s="66">
        <f t="shared" si="443"/>
        <v>7944511</v>
      </c>
      <c r="BL508" s="66"/>
      <c r="BM508" s="144">
        <f t="shared" si="444"/>
        <v>5.4535515150019934E-2</v>
      </c>
      <c r="BN508" s="65">
        <f t="shared" si="445"/>
        <v>1061482.6052104209</v>
      </c>
      <c r="BO508" s="66"/>
      <c r="BP508" s="66">
        <f t="shared" si="446"/>
        <v>34214180</v>
      </c>
      <c r="BQ508" s="66"/>
      <c r="BR508" s="435">
        <f t="shared" si="447"/>
        <v>6.4594078739869679E-2</v>
      </c>
      <c r="BS508" s="66"/>
      <c r="BT508" s="75"/>
      <c r="BU508" s="170"/>
      <c r="BV508" s="1"/>
      <c r="BW508" s="61">
        <f t="shared" si="399"/>
        <v>499</v>
      </c>
    </row>
    <row r="509" spans="2:75" x14ac:dyDescent="0.3">
      <c r="B509" s="347">
        <f t="shared" si="398"/>
        <v>44409</v>
      </c>
      <c r="C509" s="61"/>
      <c r="D509" s="17">
        <v>21768</v>
      </c>
      <c r="E509" s="16"/>
      <c r="F509" s="16"/>
      <c r="G509" s="16"/>
      <c r="H509" s="16">
        <f t="shared" si="424"/>
        <v>35142926</v>
      </c>
      <c r="I509" s="16"/>
      <c r="J509" s="436">
        <f t="shared" si="425"/>
        <v>6.1979733128389447E-4</v>
      </c>
      <c r="K509" s="16"/>
      <c r="L509" s="16"/>
      <c r="M509" s="16"/>
      <c r="N509" s="16">
        <f t="shared" si="426"/>
        <v>441208</v>
      </c>
      <c r="O509" s="16">
        <f t="shared" si="427"/>
        <v>70285.851999999999</v>
      </c>
      <c r="P509" s="41"/>
      <c r="Q509" s="17">
        <f t="shared" si="428"/>
        <v>441208</v>
      </c>
      <c r="R509" s="16"/>
      <c r="S509" s="60">
        <f t="shared" si="429"/>
        <v>0.40931305219985564</v>
      </c>
      <c r="T509" s="16"/>
      <c r="U509" s="41"/>
      <c r="V509" s="10">
        <f t="shared" si="349"/>
        <v>401</v>
      </c>
      <c r="W509" s="34">
        <v>64</v>
      </c>
      <c r="X509" s="33">
        <v>4256</v>
      </c>
      <c r="Y509" s="33"/>
      <c r="Z509" s="33">
        <f t="shared" si="430"/>
        <v>2041</v>
      </c>
      <c r="AA509" s="33">
        <f t="shared" si="431"/>
        <v>612932</v>
      </c>
      <c r="AB509" s="33"/>
      <c r="AC509" s="46">
        <f t="shared" si="432"/>
        <v>1.7441120298292749E-2</v>
      </c>
      <c r="AD509" s="33"/>
      <c r="AE509" s="33">
        <f t="shared" si="433"/>
        <v>1225.864</v>
      </c>
      <c r="AF509" s="50"/>
      <c r="AG509" s="33">
        <f t="shared" si="434"/>
        <v>2173</v>
      </c>
      <c r="AH509" s="33">
        <f>SUM(D480:D1252)</f>
        <v>827231595.06091404</v>
      </c>
      <c r="AI509" s="213">
        <f t="shared" si="435"/>
        <v>0.20588235294117646</v>
      </c>
      <c r="AJ509" s="50"/>
      <c r="AK509" s="111"/>
      <c r="AL509" s="23">
        <f t="shared" si="436"/>
        <v>7173</v>
      </c>
      <c r="AM509" s="24"/>
      <c r="AN509" s="24"/>
      <c r="AO509" s="24">
        <v>178263</v>
      </c>
      <c r="AP509" s="24">
        <v>29673290</v>
      </c>
      <c r="AQ509" s="24">
        <v>20336656</v>
      </c>
      <c r="AR509" s="461">
        <f t="shared" si="437"/>
        <v>2.4179099677925492E-4</v>
      </c>
      <c r="AS509" s="25"/>
      <c r="AT509" s="25"/>
      <c r="AU509" s="24"/>
      <c r="AV509" s="298">
        <f t="shared" si="438"/>
        <v>0.84436025617218102</v>
      </c>
      <c r="AW509" s="298"/>
      <c r="AX509" s="24">
        <f t="shared" si="439"/>
        <v>59346.58</v>
      </c>
      <c r="AY509" s="308"/>
      <c r="AZ509" s="111"/>
      <c r="BA509" s="65">
        <f t="shared" si="440"/>
        <v>238229</v>
      </c>
      <c r="BB509" s="66"/>
      <c r="BC509" s="66">
        <v>529918049</v>
      </c>
      <c r="BD509" s="66"/>
      <c r="BE509" s="66">
        <f t="shared" si="441"/>
        <v>21768</v>
      </c>
      <c r="BF509" s="66"/>
      <c r="BG509" s="144">
        <f t="shared" si="442"/>
        <v>9.1374265937396365E-2</v>
      </c>
      <c r="BH509" s="66"/>
      <c r="BI509" s="170"/>
      <c r="BJ509" s="66"/>
      <c r="BK509" s="66">
        <f t="shared" si="443"/>
        <v>6309093</v>
      </c>
      <c r="BL509" s="66"/>
      <c r="BM509" s="144">
        <f t="shared" si="444"/>
        <v>6.9932080570059757E-2</v>
      </c>
      <c r="BN509" s="65">
        <f t="shared" si="445"/>
        <v>1059836.098</v>
      </c>
      <c r="BO509" s="66"/>
      <c r="BP509" s="66">
        <f t="shared" si="446"/>
        <v>34235948</v>
      </c>
      <c r="BQ509" s="66"/>
      <c r="BR509" s="435">
        <f t="shared" si="447"/>
        <v>6.4606117992406786E-2</v>
      </c>
      <c r="BS509" s="66"/>
      <c r="BT509" s="75"/>
      <c r="BU509" s="170"/>
      <c r="BV509" s="1"/>
      <c r="BW509" s="61">
        <f t="shared" si="399"/>
        <v>500</v>
      </c>
    </row>
    <row r="510" spans="2:75" x14ac:dyDescent="0.3">
      <c r="B510" s="158">
        <f t="shared" si="398"/>
        <v>44410</v>
      </c>
      <c r="C510" s="61"/>
      <c r="D510" s="17">
        <v>56369</v>
      </c>
      <c r="E510" s="16"/>
      <c r="F510" s="16"/>
      <c r="G510" s="16"/>
      <c r="H510" s="16">
        <f t="shared" si="424"/>
        <v>35199295</v>
      </c>
      <c r="I510" s="16"/>
      <c r="J510" s="436">
        <f t="shared" si="425"/>
        <v>1.6039927921767242E-3</v>
      </c>
      <c r="K510" s="16"/>
      <c r="L510" s="16"/>
      <c r="M510" s="16"/>
      <c r="N510" s="16">
        <f t="shared" si="426"/>
        <v>461761</v>
      </c>
      <c r="O510" s="16">
        <f t="shared" si="427"/>
        <v>70258.073852295405</v>
      </c>
      <c r="P510" s="41"/>
      <c r="Q510" s="17">
        <f t="shared" si="428"/>
        <v>461761</v>
      </c>
      <c r="R510" s="16"/>
      <c r="S510" s="60">
        <f t="shared" si="429"/>
        <v>0.45985532996528677</v>
      </c>
      <c r="T510" s="16"/>
      <c r="U510" s="41"/>
      <c r="V510" s="10">
        <f t="shared" si="349"/>
        <v>402</v>
      </c>
      <c r="W510" s="34">
        <v>213</v>
      </c>
      <c r="X510" s="33">
        <v>4256</v>
      </c>
      <c r="Y510" s="33"/>
      <c r="Z510" s="33">
        <f t="shared" si="430"/>
        <v>1915</v>
      </c>
      <c r="AA510" s="33">
        <f t="shared" si="431"/>
        <v>613145</v>
      </c>
      <c r="AB510" s="33"/>
      <c r="AC510" s="46">
        <f t="shared" si="432"/>
        <v>1.7419240925137847E-2</v>
      </c>
      <c r="AD510" s="33"/>
      <c r="AE510" s="33">
        <f t="shared" si="433"/>
        <v>1223.8423153692615</v>
      </c>
      <c r="AF510" s="50"/>
      <c r="AG510" s="33">
        <f t="shared" si="434"/>
        <v>2254</v>
      </c>
      <c r="AH510" s="33">
        <f>SUM(D481:D1253)</f>
        <v>827223617.06091404</v>
      </c>
      <c r="AI510" s="213">
        <f t="shared" si="435"/>
        <v>0.25431274346132443</v>
      </c>
      <c r="AJ510" s="50"/>
      <c r="AK510" s="111"/>
      <c r="AL510" s="23">
        <f t="shared" si="436"/>
        <v>44247</v>
      </c>
      <c r="AM510" s="24"/>
      <c r="AN510" s="24"/>
      <c r="AO510" s="24">
        <v>178263</v>
      </c>
      <c r="AP510" s="24">
        <v>29717537</v>
      </c>
      <c r="AQ510" s="24">
        <v>20336656</v>
      </c>
      <c r="AR510" s="461">
        <f t="shared" si="437"/>
        <v>1.4911390007646607E-3</v>
      </c>
      <c r="AS510" s="25"/>
      <c r="AT510" s="25"/>
      <c r="AU510" s="24"/>
      <c r="AV510" s="298">
        <f t="shared" si="438"/>
        <v>0.84426511951446759</v>
      </c>
      <c r="AW510" s="298"/>
      <c r="AX510" s="24">
        <f t="shared" si="439"/>
        <v>59316.441117764472</v>
      </c>
      <c r="AY510" s="308"/>
      <c r="AZ510" s="111"/>
      <c r="BA510" s="65">
        <f t="shared" si="440"/>
        <v>2223019</v>
      </c>
      <c r="BB510" s="66"/>
      <c r="BC510" s="66">
        <v>532141068</v>
      </c>
      <c r="BD510" s="66"/>
      <c r="BE510" s="66">
        <f t="shared" si="441"/>
        <v>56369</v>
      </c>
      <c r="BF510" s="66"/>
      <c r="BG510" s="144">
        <f t="shared" si="442"/>
        <v>2.5356958262614939E-2</v>
      </c>
      <c r="BH510" s="66"/>
      <c r="BI510" s="170"/>
      <c r="BJ510" s="66"/>
      <c r="BK510" s="66">
        <f t="shared" si="443"/>
        <v>6157182</v>
      </c>
      <c r="BL510" s="66"/>
      <c r="BM510" s="144">
        <f t="shared" si="444"/>
        <v>7.4995509309291164E-2</v>
      </c>
      <c r="BN510" s="65">
        <f t="shared" si="445"/>
        <v>1062157.8203592815</v>
      </c>
      <c r="BO510" s="66"/>
      <c r="BP510" s="66">
        <f t="shared" si="446"/>
        <v>34292317</v>
      </c>
      <c r="BQ510" s="66"/>
      <c r="BR510" s="435">
        <f t="shared" si="447"/>
        <v>6.4442154650616063E-2</v>
      </c>
      <c r="BS510" s="66"/>
      <c r="BT510" s="75"/>
      <c r="BU510" s="170"/>
      <c r="BV510" s="1"/>
      <c r="BW510" s="61">
        <f t="shared" si="399"/>
        <v>501</v>
      </c>
    </row>
    <row r="511" spans="2:75" x14ac:dyDescent="0.3">
      <c r="B511" s="158">
        <f t="shared" si="398"/>
        <v>44411</v>
      </c>
      <c r="C511" s="61"/>
      <c r="D511" s="17">
        <v>104758</v>
      </c>
      <c r="E511" s="16"/>
      <c r="F511" s="16"/>
      <c r="G511" s="16"/>
      <c r="H511" s="16">
        <f t="shared" si="424"/>
        <v>35304053</v>
      </c>
      <c r="I511" s="16"/>
      <c r="J511" s="436">
        <f t="shared" si="425"/>
        <v>2.9761391527870088E-3</v>
      </c>
      <c r="K511" s="16"/>
      <c r="L511" s="16"/>
      <c r="M511" s="16"/>
      <c r="N511" s="16">
        <f t="shared" si="426"/>
        <v>504938</v>
      </c>
      <c r="O511" s="16">
        <f t="shared" si="427"/>
        <v>70326.798804780876</v>
      </c>
      <c r="P511" s="41"/>
      <c r="Q511" s="17">
        <f t="shared" si="428"/>
        <v>504938</v>
      </c>
      <c r="R511" s="16"/>
      <c r="S511" s="60">
        <f t="shared" si="429"/>
        <v>0.51335361376271893</v>
      </c>
      <c r="T511" s="16"/>
      <c r="U511" s="41"/>
      <c r="V511" s="10">
        <f t="shared" si="349"/>
        <v>403</v>
      </c>
      <c r="W511" s="34">
        <v>516</v>
      </c>
      <c r="X511" s="33">
        <v>4256</v>
      </c>
      <c r="Y511" s="33"/>
      <c r="Z511" s="33">
        <f t="shared" si="430"/>
        <v>1948</v>
      </c>
      <c r="AA511" s="33">
        <f t="shared" si="431"/>
        <v>613661</v>
      </c>
      <c r="AB511" s="33"/>
      <c r="AC511" s="46">
        <f t="shared" si="432"/>
        <v>1.7382168557247519E-2</v>
      </c>
      <c r="AD511" s="33"/>
      <c r="AE511" s="33">
        <f t="shared" si="433"/>
        <v>1222.4322709163346</v>
      </c>
      <c r="AF511" s="50"/>
      <c r="AG511" s="33">
        <f t="shared" si="434"/>
        <v>2431</v>
      </c>
      <c r="AH511" s="33">
        <f>SUM(D482:D1254)</f>
        <v>827217868.06091404</v>
      </c>
      <c r="AI511" s="213">
        <f t="shared" si="435"/>
        <v>0.29308510638297874</v>
      </c>
      <c r="AJ511" s="50"/>
      <c r="AK511" s="111"/>
      <c r="AL511" s="23">
        <f t="shared" si="436"/>
        <v>39049</v>
      </c>
      <c r="AM511" s="24"/>
      <c r="AN511" s="24"/>
      <c r="AO511" s="24">
        <v>178263</v>
      </c>
      <c r="AP511" s="24">
        <v>29756586</v>
      </c>
      <c r="AQ511" s="24">
        <v>20336656</v>
      </c>
      <c r="AR511" s="461">
        <f t="shared" si="437"/>
        <v>1.3140052622799797E-3</v>
      </c>
      <c r="AS511" s="25"/>
      <c r="AT511" s="25"/>
      <c r="AU511" s="24"/>
      <c r="AV511" s="298">
        <f t="shared" si="438"/>
        <v>0.84286600181571225</v>
      </c>
      <c r="AW511" s="298"/>
      <c r="AX511" s="24">
        <f t="shared" si="439"/>
        <v>59276.067729083668</v>
      </c>
      <c r="AY511" s="308"/>
      <c r="AZ511" s="111"/>
      <c r="BA511" s="65">
        <f t="shared" si="440"/>
        <v>7084250</v>
      </c>
      <c r="BB511" s="66"/>
      <c r="BC511" s="66">
        <v>539225318</v>
      </c>
      <c r="BD511" s="66"/>
      <c r="BE511" s="66">
        <f t="shared" si="441"/>
        <v>104758</v>
      </c>
      <c r="BF511" s="66"/>
      <c r="BG511" s="144">
        <f t="shared" si="442"/>
        <v>1.4787451035748314E-2</v>
      </c>
      <c r="BH511" s="66"/>
      <c r="BI511" s="170"/>
      <c r="BJ511" s="66"/>
      <c r="BK511" s="66">
        <f t="shared" si="443"/>
        <v>12349086</v>
      </c>
      <c r="BL511" s="66"/>
      <c r="BM511" s="144">
        <f t="shared" si="444"/>
        <v>4.0888694110641062E-2</v>
      </c>
      <c r="BN511" s="65">
        <f t="shared" si="445"/>
        <v>1074154.0199203186</v>
      </c>
      <c r="BO511" s="66"/>
      <c r="BP511" s="66">
        <f t="shared" si="446"/>
        <v>34397075</v>
      </c>
      <c r="BQ511" s="66"/>
      <c r="BR511" s="435">
        <f t="shared" si="447"/>
        <v>6.378979964735261E-2</v>
      </c>
      <c r="BS511" s="66"/>
      <c r="BT511" s="75"/>
      <c r="BU511" s="170"/>
      <c r="BV511" s="1"/>
      <c r="BW511" s="61">
        <f t="shared" si="399"/>
        <v>502</v>
      </c>
    </row>
    <row r="512" spans="2:75" x14ac:dyDescent="0.3">
      <c r="B512" s="158">
        <f t="shared" si="398"/>
        <v>44412</v>
      </c>
      <c r="C512" s="61"/>
      <c r="D512" s="17">
        <v>112279</v>
      </c>
      <c r="E512" s="16"/>
      <c r="F512" s="16"/>
      <c r="G512" s="16"/>
      <c r="H512" s="16">
        <f t="shared" si="424"/>
        <v>35416332</v>
      </c>
      <c r="I512" s="16"/>
      <c r="J512" s="436">
        <f t="shared" si="425"/>
        <v>3.1803430614609604E-3</v>
      </c>
      <c r="K512" s="16"/>
      <c r="L512" s="16"/>
      <c r="M512" s="16"/>
      <c r="N512" s="16">
        <f t="shared" si="426"/>
        <v>532683</v>
      </c>
      <c r="O512" s="16">
        <f t="shared" si="427"/>
        <v>70410.202783300192</v>
      </c>
      <c r="P512" s="41"/>
      <c r="Q512" s="17">
        <f t="shared" si="428"/>
        <v>532683</v>
      </c>
      <c r="R512" s="16"/>
      <c r="S512" s="60">
        <f t="shared" si="429"/>
        <v>0.47286708104760217</v>
      </c>
      <c r="T512" s="16"/>
      <c r="U512" s="41"/>
      <c r="V512" s="10">
        <f t="shared" si="349"/>
        <v>404</v>
      </c>
      <c r="W512" s="34">
        <v>656</v>
      </c>
      <c r="X512" s="33">
        <v>4256</v>
      </c>
      <c r="Y512" s="33"/>
      <c r="Z512" s="33">
        <f t="shared" si="430"/>
        <v>2119</v>
      </c>
      <c r="AA512" s="33">
        <f t="shared" si="431"/>
        <v>614317</v>
      </c>
      <c r="AB512" s="33"/>
      <c r="AC512" s="46">
        <f t="shared" si="432"/>
        <v>1.7345585082046328E-2</v>
      </c>
      <c r="AD512" s="33"/>
      <c r="AE512" s="33">
        <f t="shared" si="433"/>
        <v>1221.3061630218688</v>
      </c>
      <c r="AF512" s="50"/>
      <c r="AG512" s="33">
        <f t="shared" si="434"/>
        <v>2604</v>
      </c>
      <c r="AH512" s="33">
        <f>SUM(D483:D1255)</f>
        <v>827212736.06091404</v>
      </c>
      <c r="AI512" s="213">
        <f t="shared" si="435"/>
        <v>0.33744221879815101</v>
      </c>
      <c r="AJ512" s="50"/>
      <c r="AK512" s="111"/>
      <c r="AL512" s="23">
        <f t="shared" si="436"/>
        <v>30730</v>
      </c>
      <c r="AM512" s="24"/>
      <c r="AN512" s="24"/>
      <c r="AO512" s="24">
        <v>178263</v>
      </c>
      <c r="AP512" s="24">
        <v>29787316</v>
      </c>
      <c r="AQ512" s="24">
        <v>20336656</v>
      </c>
      <c r="AR512" s="461">
        <f t="shared" si="437"/>
        <v>1.0327125564740525E-3</v>
      </c>
      <c r="AS512" s="25"/>
      <c r="AT512" s="25"/>
      <c r="AU512" s="24"/>
      <c r="AV512" s="298">
        <f t="shared" si="438"/>
        <v>0.84106157577244312</v>
      </c>
      <c r="AW512" s="298"/>
      <c r="AX512" s="24">
        <f t="shared" si="439"/>
        <v>59219.316103379722</v>
      </c>
      <c r="AY512" s="308"/>
      <c r="AZ512" s="111"/>
      <c r="BA512" s="65">
        <f t="shared" si="440"/>
        <v>1157031</v>
      </c>
      <c r="BB512" s="66"/>
      <c r="BC512" s="66">
        <v>540382349</v>
      </c>
      <c r="BD512" s="66"/>
      <c r="BE512" s="66">
        <f t="shared" si="441"/>
        <v>112279</v>
      </c>
      <c r="BF512" s="66"/>
      <c r="BG512" s="144">
        <f t="shared" si="442"/>
        <v>9.7040615160700103E-2</v>
      </c>
      <c r="BH512" s="66"/>
      <c r="BI512" s="170"/>
      <c r="BJ512" s="66"/>
      <c r="BK512" s="66">
        <f t="shared" si="443"/>
        <v>13301197</v>
      </c>
      <c r="BL512" s="66"/>
      <c r="BM512" s="144">
        <f t="shared" si="444"/>
        <v>4.0047749086040904E-2</v>
      </c>
      <c r="BN512" s="65">
        <f t="shared" si="445"/>
        <v>1074318.7852882703</v>
      </c>
      <c r="BO512" s="66"/>
      <c r="BP512" s="66">
        <f t="shared" si="446"/>
        <v>34509354</v>
      </c>
      <c r="BQ512" s="66"/>
      <c r="BR512" s="435">
        <f t="shared" si="447"/>
        <v>6.3860994097718018E-2</v>
      </c>
      <c r="BS512" s="66"/>
      <c r="BT512" s="75"/>
      <c r="BU512" s="170"/>
      <c r="BV512" s="1"/>
      <c r="BW512" s="61">
        <f t="shared" si="399"/>
        <v>503</v>
      </c>
    </row>
    <row r="513" spans="2:75" x14ac:dyDescent="0.3">
      <c r="B513" s="158">
        <f t="shared" si="398"/>
        <v>44413</v>
      </c>
      <c r="C513" s="61"/>
      <c r="D513" s="17">
        <v>120945</v>
      </c>
      <c r="E513" s="16"/>
      <c r="F513" s="16"/>
      <c r="G513" s="16"/>
      <c r="H513" s="16">
        <f t="shared" si="424"/>
        <v>35537277</v>
      </c>
      <c r="I513" s="16"/>
      <c r="J513" s="436">
        <f t="shared" si="425"/>
        <v>3.4149499163267389E-3</v>
      </c>
      <c r="K513" s="16"/>
      <c r="L513" s="16"/>
      <c r="M513" s="16"/>
      <c r="N513" s="16">
        <f t="shared" si="426"/>
        <v>569115</v>
      </c>
      <c r="O513" s="16">
        <f t="shared" si="427"/>
        <v>70510.470238095237</v>
      </c>
      <c r="P513" s="41"/>
      <c r="Q513" s="17">
        <f t="shared" si="428"/>
        <v>569115</v>
      </c>
      <c r="R513" s="16"/>
      <c r="S513" s="60">
        <f t="shared" si="429"/>
        <v>0.48004296198436519</v>
      </c>
      <c r="T513" s="16"/>
      <c r="U513" s="41"/>
      <c r="V513" s="10">
        <f t="shared" si="349"/>
        <v>405</v>
      </c>
      <c r="W513" s="34">
        <v>559</v>
      </c>
      <c r="X513" s="33">
        <v>4256</v>
      </c>
      <c r="Y513" s="33"/>
      <c r="Z513" s="33">
        <f t="shared" si="430"/>
        <v>2249</v>
      </c>
      <c r="AA513" s="33">
        <f t="shared" si="431"/>
        <v>614876</v>
      </c>
      <c r="AB513" s="33"/>
      <c r="AC513" s="46">
        <f t="shared" si="432"/>
        <v>1.7302282332999235E-2</v>
      </c>
      <c r="AD513" s="33"/>
      <c r="AE513" s="33">
        <f t="shared" si="433"/>
        <v>1219.9920634920634</v>
      </c>
      <c r="AF513" s="50"/>
      <c r="AG513" s="33">
        <f t="shared" si="434"/>
        <v>2678</v>
      </c>
      <c r="AH513" s="33">
        <f>SUM(D484:D1256)</f>
        <v>827201124.06091404</v>
      </c>
      <c r="AI513" s="213">
        <f t="shared" si="435"/>
        <v>0.29559748427672955</v>
      </c>
      <c r="AJ513" s="50"/>
      <c r="AK513" s="111" t="s">
        <v>26</v>
      </c>
      <c r="AL513" s="23">
        <f t="shared" si="436"/>
        <v>12684</v>
      </c>
      <c r="AM513" s="24"/>
      <c r="AN513" s="24"/>
      <c r="AO513" s="24">
        <v>178263</v>
      </c>
      <c r="AP513" s="24">
        <v>29800000</v>
      </c>
      <c r="AQ513" s="24">
        <v>20336656</v>
      </c>
      <c r="AR513" s="461">
        <f t="shared" si="437"/>
        <v>4.258188283899093E-4</v>
      </c>
      <c r="AS513" s="25"/>
      <c r="AT513" s="25"/>
      <c r="AU513" s="24"/>
      <c r="AV513" s="298">
        <f t="shared" si="438"/>
        <v>0.83855608858270148</v>
      </c>
      <c r="AW513" s="298"/>
      <c r="AX513" s="24">
        <f t="shared" si="439"/>
        <v>59126.984126984127</v>
      </c>
      <c r="AY513" s="308"/>
      <c r="AZ513" s="111" t="s">
        <v>26</v>
      </c>
      <c r="BA513" s="65">
        <f t="shared" si="440"/>
        <v>1100613</v>
      </c>
      <c r="BB513" s="66"/>
      <c r="BC513" s="66">
        <v>541482962</v>
      </c>
      <c r="BD513" s="66"/>
      <c r="BE513" s="66">
        <f t="shared" si="441"/>
        <v>120945</v>
      </c>
      <c r="BF513" s="66"/>
      <c r="BG513" s="144">
        <f t="shared" si="442"/>
        <v>0.10988876198990925</v>
      </c>
      <c r="BH513" s="66"/>
      <c r="BI513" s="170"/>
      <c r="BJ513" s="66"/>
      <c r="BK513" s="66">
        <f t="shared" si="443"/>
        <v>14182962</v>
      </c>
      <c r="BL513" s="66"/>
      <c r="BM513" s="144">
        <f t="shared" si="444"/>
        <v>4.0126667476088562E-2</v>
      </c>
      <c r="BN513" s="65">
        <f t="shared" si="445"/>
        <v>1074370.9563492064</v>
      </c>
      <c r="BO513" s="66"/>
      <c r="BP513" s="66">
        <f t="shared" si="446"/>
        <v>34630299</v>
      </c>
      <c r="BQ513" s="66"/>
      <c r="BR513" s="435">
        <f t="shared" si="447"/>
        <v>6.3954549690891288E-2</v>
      </c>
      <c r="BS513" s="66"/>
      <c r="BT513" s="75"/>
      <c r="BU513" s="170"/>
      <c r="BV513" s="1"/>
      <c r="BW513" s="61">
        <f t="shared" si="399"/>
        <v>504</v>
      </c>
    </row>
    <row r="514" spans="2:75" x14ac:dyDescent="0.3">
      <c r="B514" s="158">
        <f t="shared" si="398"/>
        <v>44414</v>
      </c>
      <c r="C514" s="61"/>
      <c r="D514" s="17">
        <v>130706</v>
      </c>
      <c r="E514" s="16"/>
      <c r="F514" s="16"/>
      <c r="G514" s="16"/>
      <c r="H514" s="16">
        <f t="shared" si="424"/>
        <v>35667983</v>
      </c>
      <c r="I514" s="16"/>
      <c r="J514" s="436">
        <f t="shared" si="425"/>
        <v>3.67799705081512E-3</v>
      </c>
      <c r="K514" s="16"/>
      <c r="L514" s="16"/>
      <c r="M514" s="16"/>
      <c r="N514" s="16">
        <f t="shared" si="426"/>
        <v>598723</v>
      </c>
      <c r="O514" s="16">
        <f t="shared" si="427"/>
        <v>70629.669306930693</v>
      </c>
      <c r="P514" s="41"/>
      <c r="Q514" s="17">
        <f t="shared" si="428"/>
        <v>598723</v>
      </c>
      <c r="R514" s="16"/>
      <c r="S514" s="60">
        <f t="shared" si="429"/>
        <v>0.43187552464611051</v>
      </c>
      <c r="T514" s="16"/>
      <c r="U514" s="41"/>
      <c r="V514" s="10">
        <f t="shared" si="349"/>
        <v>406</v>
      </c>
      <c r="W514" s="34">
        <v>750</v>
      </c>
      <c r="X514" s="33">
        <v>4256</v>
      </c>
      <c r="Y514" s="33"/>
      <c r="Z514" s="33">
        <f t="shared" si="430"/>
        <v>2758</v>
      </c>
      <c r="AA514" s="33">
        <f t="shared" si="431"/>
        <v>615626</v>
      </c>
      <c r="AB514" s="33"/>
      <c r="AC514" s="46">
        <f t="shared" si="432"/>
        <v>1.7259905052663057E-2</v>
      </c>
      <c r="AD514" s="33"/>
      <c r="AE514" s="33">
        <f t="shared" si="433"/>
        <v>1219.0613861386139</v>
      </c>
      <c r="AF514" s="50"/>
      <c r="AG514" s="33">
        <f t="shared" si="434"/>
        <v>2999</v>
      </c>
      <c r="AH514" s="33">
        <f>SUM(D485:D1257)</f>
        <v>827184312.06091404</v>
      </c>
      <c r="AI514" s="213">
        <f t="shared" si="435"/>
        <v>0.45019342359767894</v>
      </c>
      <c r="AJ514" s="50"/>
      <c r="AK514" s="111"/>
      <c r="AL514" s="23">
        <f t="shared" si="436"/>
        <v>34472</v>
      </c>
      <c r="AM514" s="24"/>
      <c r="AN514" s="24"/>
      <c r="AO514" s="24">
        <v>178263</v>
      </c>
      <c r="AP514" s="24">
        <v>29834472</v>
      </c>
      <c r="AQ514" s="24">
        <v>20336656</v>
      </c>
      <c r="AR514" s="461">
        <f t="shared" si="437"/>
        <v>1.1567785234899328E-3</v>
      </c>
      <c r="AS514" s="25"/>
      <c r="AT514" s="25"/>
      <c r="AU514" s="24"/>
      <c r="AV514" s="298">
        <f t="shared" si="438"/>
        <v>0.83644965290019346</v>
      </c>
      <c r="AW514" s="298"/>
      <c r="AX514" s="24">
        <f t="shared" si="439"/>
        <v>59078.162376237626</v>
      </c>
      <c r="AY514" s="308"/>
      <c r="AZ514" s="111"/>
      <c r="BA514" s="65">
        <f t="shared" si="440"/>
        <v>1408885</v>
      </c>
      <c r="BB514" s="66"/>
      <c r="BC514" s="66">
        <v>542891847</v>
      </c>
      <c r="BD514" s="66"/>
      <c r="BE514" s="66">
        <f t="shared" si="441"/>
        <v>130706</v>
      </c>
      <c r="BF514" s="66"/>
      <c r="BG514" s="144">
        <f t="shared" si="442"/>
        <v>9.2772653552277151E-2</v>
      </c>
      <c r="BH514" s="66"/>
      <c r="BI514" s="170"/>
      <c r="BJ514" s="66"/>
      <c r="BK514" s="66">
        <f t="shared" si="443"/>
        <v>13712937</v>
      </c>
      <c r="BL514" s="66"/>
      <c r="BM514" s="144">
        <f t="shared" si="444"/>
        <v>4.3661179220760661E-2</v>
      </c>
      <c r="BN514" s="65">
        <f t="shared" si="445"/>
        <v>1075033.3603960397</v>
      </c>
      <c r="BO514" s="66"/>
      <c r="BP514" s="66">
        <f t="shared" si="446"/>
        <v>34761005</v>
      </c>
      <c r="BQ514" s="66"/>
      <c r="BR514" s="435">
        <f t="shared" si="447"/>
        <v>6.4029336951895693E-2</v>
      </c>
      <c r="BS514" s="66"/>
      <c r="BT514" s="75"/>
      <c r="BU514" s="170"/>
      <c r="BV514" s="1"/>
      <c r="BW514" s="61">
        <f t="shared" si="399"/>
        <v>505</v>
      </c>
    </row>
    <row r="515" spans="2:75" x14ac:dyDescent="0.3">
      <c r="B515" s="158">
        <f t="shared" si="398"/>
        <v>44415</v>
      </c>
      <c r="C515" s="61"/>
      <c r="D515" s="17">
        <v>68950</v>
      </c>
      <c r="E515" s="16"/>
      <c r="F515" s="16"/>
      <c r="G515" s="16"/>
      <c r="H515" s="16">
        <f t="shared" si="424"/>
        <v>35736933</v>
      </c>
      <c r="I515" s="16"/>
      <c r="J515" s="436">
        <f t="shared" si="425"/>
        <v>1.9331062258272356E-3</v>
      </c>
      <c r="K515" s="16"/>
      <c r="L515" s="16"/>
      <c r="M515" s="16"/>
      <c r="N515" s="16">
        <f t="shared" si="426"/>
        <v>615775</v>
      </c>
      <c r="O515" s="16">
        <f t="shared" si="427"/>
        <v>70626.349802371536</v>
      </c>
      <c r="P515" s="41"/>
      <c r="Q515" s="17">
        <f t="shared" si="428"/>
        <v>615775</v>
      </c>
      <c r="R515" s="16"/>
      <c r="S515" s="60">
        <f t="shared" si="429"/>
        <v>0.42126631245124152</v>
      </c>
      <c r="T515" s="16"/>
      <c r="U515" s="41"/>
      <c r="V515" s="10">
        <f t="shared" si="349"/>
        <v>407</v>
      </c>
      <c r="W515" s="34">
        <v>320</v>
      </c>
      <c r="X515" s="33">
        <v>4256</v>
      </c>
      <c r="Y515" s="33"/>
      <c r="Z515" s="33">
        <f t="shared" si="430"/>
        <v>3014</v>
      </c>
      <c r="AA515" s="33">
        <f t="shared" si="431"/>
        <v>615946</v>
      </c>
      <c r="AB515" s="33"/>
      <c r="AC515" s="46">
        <f t="shared" si="432"/>
        <v>1.7235558518689895E-2</v>
      </c>
      <c r="AD515" s="33"/>
      <c r="AE515" s="33">
        <f t="shared" si="433"/>
        <v>1217.2845849802372</v>
      </c>
      <c r="AF515" s="50"/>
      <c r="AG515" s="33">
        <f t="shared" si="434"/>
        <v>3078</v>
      </c>
      <c r="AH515" s="33">
        <f>SUM(D486:D1258)</f>
        <v>827164965.06091404</v>
      </c>
      <c r="AI515" s="213">
        <f t="shared" si="435"/>
        <v>0.42632066728452273</v>
      </c>
      <c r="AJ515" s="50"/>
      <c r="AK515" s="111"/>
      <c r="AL515" s="23">
        <f t="shared" si="436"/>
        <v>17331</v>
      </c>
      <c r="AM515" s="24"/>
      <c r="AN515" s="24"/>
      <c r="AO515" s="24">
        <v>178263</v>
      </c>
      <c r="AP515" s="24">
        <v>29851803</v>
      </c>
      <c r="AQ515" s="24">
        <v>20336656</v>
      </c>
      <c r="AR515" s="461">
        <f t="shared" si="437"/>
        <v>5.8090520254556544E-4</v>
      </c>
      <c r="AS515" s="25"/>
      <c r="AT515" s="25"/>
      <c r="AU515" s="24"/>
      <c r="AV515" s="298">
        <f t="shared" si="438"/>
        <v>0.83532078704123824</v>
      </c>
      <c r="AW515" s="298"/>
      <c r="AX515" s="24">
        <f t="shared" si="439"/>
        <v>58995.6581027668</v>
      </c>
      <c r="AY515" s="308"/>
      <c r="AZ515" s="111"/>
      <c r="BA515" s="65">
        <f t="shared" si="440"/>
        <v>836734</v>
      </c>
      <c r="BB515" s="66"/>
      <c r="BC515" s="66">
        <v>543728581</v>
      </c>
      <c r="BD515" s="66"/>
      <c r="BE515" s="66">
        <f t="shared" si="441"/>
        <v>68950</v>
      </c>
      <c r="BF515" s="66"/>
      <c r="BG515" s="144">
        <f t="shared" si="442"/>
        <v>8.2403726871383254E-2</v>
      </c>
      <c r="BH515" s="66"/>
      <c r="BI515" s="170"/>
      <c r="BJ515" s="66"/>
      <c r="BK515" s="66">
        <f t="shared" si="443"/>
        <v>14048761</v>
      </c>
      <c r="BL515" s="66"/>
      <c r="BM515" s="144">
        <f t="shared" si="444"/>
        <v>4.3831267397886543E-2</v>
      </c>
      <c r="BN515" s="65">
        <f t="shared" si="445"/>
        <v>1074562.4130434783</v>
      </c>
      <c r="BO515" s="66"/>
      <c r="BP515" s="66">
        <f t="shared" si="446"/>
        <v>34829955</v>
      </c>
      <c r="BQ515" s="66"/>
      <c r="BR515" s="435">
        <f t="shared" si="447"/>
        <v>6.4057612965539509E-2</v>
      </c>
      <c r="BS515" s="66"/>
      <c r="BT515" s="75"/>
      <c r="BU515" s="170"/>
      <c r="BV515" s="1"/>
      <c r="BW515" s="61">
        <f t="shared" si="399"/>
        <v>506</v>
      </c>
    </row>
    <row r="516" spans="2:75" x14ac:dyDescent="0.3">
      <c r="B516" s="347">
        <f t="shared" si="398"/>
        <v>44416</v>
      </c>
      <c r="C516" s="61"/>
      <c r="D516" s="17">
        <v>24390</v>
      </c>
      <c r="E516" s="16"/>
      <c r="F516" s="16"/>
      <c r="G516" s="16"/>
      <c r="H516" s="16">
        <f t="shared" si="424"/>
        <v>35761323</v>
      </c>
      <c r="I516" s="16"/>
      <c r="J516" s="436">
        <f t="shared" si="425"/>
        <v>6.8248721847507176E-4</v>
      </c>
      <c r="K516" s="16"/>
      <c r="L516" s="16"/>
      <c r="M516" s="16"/>
      <c r="N516" s="16">
        <f t="shared" si="426"/>
        <v>618397</v>
      </c>
      <c r="O516" s="16">
        <f t="shared" si="427"/>
        <v>70535.153846153844</v>
      </c>
      <c r="P516" s="41"/>
      <c r="Q516" s="17">
        <f t="shared" si="428"/>
        <v>618397</v>
      </c>
      <c r="R516" s="16"/>
      <c r="S516" s="60">
        <f t="shared" si="429"/>
        <v>0.40159969900817755</v>
      </c>
      <c r="T516" s="16"/>
      <c r="U516" s="41"/>
      <c r="V516" s="10">
        <f t="shared" si="349"/>
        <v>408</v>
      </c>
      <c r="W516" s="34">
        <v>129</v>
      </c>
      <c r="X516" s="33">
        <v>4256</v>
      </c>
      <c r="Y516" s="33"/>
      <c r="Z516" s="33">
        <f t="shared" si="430"/>
        <v>2930</v>
      </c>
      <c r="AA516" s="33">
        <f t="shared" si="431"/>
        <v>616075</v>
      </c>
      <c r="AB516" s="33"/>
      <c r="AC516" s="46">
        <f t="shared" si="432"/>
        <v>1.7227410742046652E-2</v>
      </c>
      <c r="AD516" s="33"/>
      <c r="AE516" s="33">
        <f t="shared" si="433"/>
        <v>1215.1380670611441</v>
      </c>
      <c r="AF516" s="50"/>
      <c r="AG516" s="33">
        <f t="shared" si="434"/>
        <v>3143</v>
      </c>
      <c r="AH516" s="33">
        <f>SUM(D487:D1259)</f>
        <v>827137728.06091404</v>
      </c>
      <c r="AI516" s="213">
        <f t="shared" si="435"/>
        <v>0.44638748274275197</v>
      </c>
      <c r="AJ516" s="50"/>
      <c r="AK516" s="111"/>
      <c r="AL516" s="23">
        <f t="shared" si="436"/>
        <v>7259</v>
      </c>
      <c r="AM516" s="24"/>
      <c r="AN516" s="24"/>
      <c r="AO516" s="24">
        <v>178263</v>
      </c>
      <c r="AP516" s="24">
        <v>29859062</v>
      </c>
      <c r="AQ516" s="24">
        <v>20336656</v>
      </c>
      <c r="AR516" s="461">
        <f t="shared" si="437"/>
        <v>2.4316789173504862E-4</v>
      </c>
      <c r="AS516" s="25"/>
      <c r="AT516" s="25"/>
      <c r="AU516" s="24"/>
      <c r="AV516" s="298">
        <f t="shared" si="438"/>
        <v>0.8349540647587339</v>
      </c>
      <c r="AW516" s="298"/>
      <c r="AX516" s="24">
        <f t="shared" si="439"/>
        <v>58893.613412228799</v>
      </c>
      <c r="AY516" s="308"/>
      <c r="AZ516" s="111"/>
      <c r="BA516" s="65">
        <f t="shared" si="440"/>
        <v>652881</v>
      </c>
      <c r="BB516" s="66"/>
      <c r="BC516" s="66">
        <v>544381462</v>
      </c>
      <c r="BD516" s="66"/>
      <c r="BE516" s="66">
        <f t="shared" si="441"/>
        <v>24390</v>
      </c>
      <c r="BF516" s="66"/>
      <c r="BG516" s="144">
        <f t="shared" si="442"/>
        <v>3.73574970017507E-2</v>
      </c>
      <c r="BH516" s="66"/>
      <c r="BI516" s="170"/>
      <c r="BJ516" s="66"/>
      <c r="BK516" s="66">
        <f t="shared" si="443"/>
        <v>14463413</v>
      </c>
      <c r="BL516" s="66"/>
      <c r="BM516" s="144">
        <f t="shared" si="444"/>
        <v>4.2755952554213862E-2</v>
      </c>
      <c r="BN516" s="65">
        <f t="shared" si="445"/>
        <v>1073730.6942800789</v>
      </c>
      <c r="BO516" s="66"/>
      <c r="BP516" s="66">
        <f t="shared" si="446"/>
        <v>34854345</v>
      </c>
      <c r="BQ516" s="66"/>
      <c r="BR516" s="435">
        <f t="shared" si="447"/>
        <v>6.4025591304944174E-2</v>
      </c>
      <c r="BS516" s="66"/>
      <c r="BT516" s="75"/>
      <c r="BU516" s="170"/>
      <c r="BV516" s="1"/>
      <c r="BW516" s="61">
        <f t="shared" si="399"/>
        <v>507</v>
      </c>
    </row>
    <row r="517" spans="2:75" x14ac:dyDescent="0.3">
      <c r="B517" s="158">
        <f t="shared" si="398"/>
        <v>44417</v>
      </c>
      <c r="C517" s="61"/>
      <c r="D517" s="17">
        <v>102375</v>
      </c>
      <c r="E517" s="16"/>
      <c r="F517" s="16"/>
      <c r="G517" s="16"/>
      <c r="H517" s="16">
        <f t="shared" si="424"/>
        <v>35863698</v>
      </c>
      <c r="I517" s="16"/>
      <c r="J517" s="436">
        <f t="shared" si="425"/>
        <v>2.8627296590788883E-3</v>
      </c>
      <c r="K517" s="16"/>
      <c r="L517" s="16"/>
      <c r="M517" s="16"/>
      <c r="N517" s="16">
        <f t="shared" si="426"/>
        <v>664403</v>
      </c>
      <c r="O517" s="16">
        <f t="shared" si="427"/>
        <v>70597.830708661422</v>
      </c>
      <c r="P517" s="41"/>
      <c r="Q517" s="17">
        <f t="shared" si="428"/>
        <v>664403</v>
      </c>
      <c r="R517" s="16"/>
      <c r="S517" s="60">
        <f t="shared" si="429"/>
        <v>0.43884606972004997</v>
      </c>
      <c r="T517" s="16"/>
      <c r="U517" s="41"/>
      <c r="V517" s="10">
        <f t="shared" si="349"/>
        <v>409</v>
      </c>
      <c r="W517" s="34">
        <v>326</v>
      </c>
      <c r="X517" s="33">
        <v>4256</v>
      </c>
      <c r="Y517" s="33"/>
      <c r="Z517" s="33">
        <f t="shared" si="430"/>
        <v>2740</v>
      </c>
      <c r="AA517" s="33">
        <f t="shared" si="431"/>
        <v>616401</v>
      </c>
      <c r="AB517" s="33"/>
      <c r="AC517" s="46">
        <f t="shared" si="432"/>
        <v>1.7187324073496268E-2</v>
      </c>
      <c r="AD517" s="33"/>
      <c r="AE517" s="33">
        <f t="shared" si="433"/>
        <v>1213.3877952755906</v>
      </c>
      <c r="AF517" s="50"/>
      <c r="AG517" s="33">
        <f t="shared" si="434"/>
        <v>3256</v>
      </c>
      <c r="AH517" s="33">
        <f>SUM(D488:D1260)</f>
        <v>827123193.06091404</v>
      </c>
      <c r="AI517" s="213">
        <f t="shared" si="435"/>
        <v>0.44454303460514638</v>
      </c>
      <c r="AJ517" s="50"/>
      <c r="AK517" s="111"/>
      <c r="AL517" s="23">
        <f t="shared" si="436"/>
        <v>64258</v>
      </c>
      <c r="AM517" s="24"/>
      <c r="AN517" s="24"/>
      <c r="AO517" s="24">
        <v>178263</v>
      </c>
      <c r="AP517" s="24">
        <v>29923320</v>
      </c>
      <c r="AQ517" s="24">
        <v>20336656</v>
      </c>
      <c r="AR517" s="461">
        <f t="shared" si="437"/>
        <v>2.1520434901806358E-3</v>
      </c>
      <c r="AS517" s="25"/>
      <c r="AT517" s="25"/>
      <c r="AU517" s="24"/>
      <c r="AV517" s="298">
        <f t="shared" si="438"/>
        <v>0.83436236832018829</v>
      </c>
      <c r="AW517" s="298"/>
      <c r="AX517" s="24">
        <f t="shared" si="439"/>
        <v>58904.173228346459</v>
      </c>
      <c r="AY517" s="308"/>
      <c r="AZ517" s="111"/>
      <c r="BA517" s="65">
        <f t="shared" si="440"/>
        <v>2240677</v>
      </c>
      <c r="BB517" s="66"/>
      <c r="BC517" s="66">
        <v>546622139</v>
      </c>
      <c r="BD517" s="66"/>
      <c r="BE517" s="66">
        <f t="shared" si="441"/>
        <v>102375</v>
      </c>
      <c r="BF517" s="66"/>
      <c r="BG517" s="144">
        <f t="shared" si="442"/>
        <v>4.5689316220053136E-2</v>
      </c>
      <c r="BH517" s="66"/>
      <c r="BI517" s="170"/>
      <c r="BJ517" s="66"/>
      <c r="BK517" s="66">
        <f t="shared" si="443"/>
        <v>14481071</v>
      </c>
      <c r="BL517" s="66"/>
      <c r="BM517" s="144">
        <f t="shared" si="444"/>
        <v>4.5880791551950822E-2</v>
      </c>
      <c r="BN517" s="65">
        <f t="shared" si="445"/>
        <v>1076027.8326771653</v>
      </c>
      <c r="BO517" s="66"/>
      <c r="BP517" s="66">
        <f t="shared" si="446"/>
        <v>34956720</v>
      </c>
      <c r="BQ517" s="66"/>
      <c r="BR517" s="435">
        <f t="shared" si="447"/>
        <v>6.3950428469564793E-2</v>
      </c>
      <c r="BS517" s="66"/>
      <c r="BT517" s="75"/>
      <c r="BU517" s="170"/>
      <c r="BV517" s="1"/>
      <c r="BW517" s="61">
        <f t="shared" si="399"/>
        <v>508</v>
      </c>
    </row>
    <row r="518" spans="2:75" x14ac:dyDescent="0.3">
      <c r="B518" s="158">
        <f t="shared" si="398"/>
        <v>44418</v>
      </c>
      <c r="C518" s="61"/>
      <c r="D518" s="17">
        <v>101254</v>
      </c>
      <c r="E518" s="16"/>
      <c r="F518" s="16"/>
      <c r="G518" s="16"/>
      <c r="H518" s="16">
        <f t="shared" si="424"/>
        <v>35964952</v>
      </c>
      <c r="I518" s="16"/>
      <c r="J518" s="436">
        <f t="shared" si="425"/>
        <v>2.8233005977241947E-3</v>
      </c>
      <c r="K518" s="16"/>
      <c r="L518" s="16"/>
      <c r="M518" s="16"/>
      <c r="N518" s="16">
        <f t="shared" si="426"/>
        <v>660899</v>
      </c>
      <c r="O518" s="16">
        <f t="shared" si="427"/>
        <v>70658.05893909627</v>
      </c>
      <c r="P518" s="41"/>
      <c r="Q518" s="17">
        <f t="shared" si="428"/>
        <v>660899</v>
      </c>
      <c r="R518" s="16"/>
      <c r="S518" s="60">
        <f t="shared" si="429"/>
        <v>0.30887158423410399</v>
      </c>
      <c r="T518" s="16"/>
      <c r="U518" s="41"/>
      <c r="V518" s="10">
        <f t="shared" si="349"/>
        <v>410</v>
      </c>
      <c r="W518" s="34">
        <v>657</v>
      </c>
      <c r="X518" s="33">
        <v>4256</v>
      </c>
      <c r="Y518" s="33"/>
      <c r="Z518" s="33">
        <f t="shared" si="430"/>
        <v>2741</v>
      </c>
      <c r="AA518" s="33">
        <f t="shared" si="431"/>
        <v>617058</v>
      </c>
      <c r="AB518" s="33"/>
      <c r="AC518" s="46">
        <f t="shared" si="432"/>
        <v>1.7157203490776242E-2</v>
      </c>
      <c r="AD518" s="33"/>
      <c r="AE518" s="33">
        <f t="shared" si="433"/>
        <v>1212.294695481336</v>
      </c>
      <c r="AF518" s="50"/>
      <c r="AG518" s="33">
        <f t="shared" si="434"/>
        <v>3397</v>
      </c>
      <c r="AH518" s="33">
        <f>SUM(D489:D1261)</f>
        <v>827116551.06091404</v>
      </c>
      <c r="AI518" s="213">
        <f t="shared" si="435"/>
        <v>0.39736733854380912</v>
      </c>
      <c r="AJ518" s="50"/>
      <c r="AK518" s="111"/>
      <c r="AL518" s="23">
        <f t="shared" si="436"/>
        <v>43001</v>
      </c>
      <c r="AM518" s="24"/>
      <c r="AN518" s="24"/>
      <c r="AO518" s="24">
        <v>178263</v>
      </c>
      <c r="AP518" s="24">
        <v>29966321</v>
      </c>
      <c r="AQ518" s="24">
        <v>20336656</v>
      </c>
      <c r="AR518" s="461">
        <f t="shared" si="437"/>
        <v>1.4370397402427271E-3</v>
      </c>
      <c r="AS518" s="25"/>
      <c r="AT518" s="25"/>
      <c r="AU518" s="24"/>
      <c r="AV518" s="298">
        <f t="shared" si="438"/>
        <v>0.83320898078774019</v>
      </c>
      <c r="AW518" s="298"/>
      <c r="AX518" s="24">
        <f t="shared" si="439"/>
        <v>58872.929273084483</v>
      </c>
      <c r="AY518" s="308"/>
      <c r="AZ518" s="111"/>
      <c r="BA518" s="65">
        <f t="shared" si="440"/>
        <v>1026783</v>
      </c>
      <c r="BB518" s="66"/>
      <c r="BC518" s="66">
        <v>547648922</v>
      </c>
      <c r="BD518" s="66"/>
      <c r="BE518" s="66">
        <f t="shared" si="441"/>
        <v>101254</v>
      </c>
      <c r="BF518" s="66"/>
      <c r="BG518" s="144">
        <f t="shared" si="442"/>
        <v>9.8612851985278291E-2</v>
      </c>
      <c r="BH518" s="66"/>
      <c r="BI518" s="170"/>
      <c r="BJ518" s="66"/>
      <c r="BK518" s="66">
        <f t="shared" si="443"/>
        <v>8423604</v>
      </c>
      <c r="BL518" s="66"/>
      <c r="BM518" s="144">
        <f t="shared" si="444"/>
        <v>7.845798544186075E-2</v>
      </c>
      <c r="BN518" s="65">
        <f t="shared" si="445"/>
        <v>1075931.0844793713</v>
      </c>
      <c r="BO518" s="66"/>
      <c r="BP518" s="66">
        <f t="shared" si="446"/>
        <v>35057974</v>
      </c>
      <c r="BQ518" s="66"/>
      <c r="BR518" s="435">
        <f t="shared" si="447"/>
        <v>6.4015416796529362E-2</v>
      </c>
      <c r="BS518" s="66"/>
      <c r="BT518" s="75"/>
      <c r="BU518" s="170"/>
      <c r="BV518" s="1"/>
      <c r="BW518" s="61">
        <f t="shared" si="399"/>
        <v>509</v>
      </c>
    </row>
    <row r="519" spans="2:75" x14ac:dyDescent="0.3">
      <c r="B519" s="158">
        <f t="shared" ref="B519:B621" si="448">1+B518</f>
        <v>44419</v>
      </c>
      <c r="C519" s="61"/>
      <c r="D519" s="17">
        <v>144635</v>
      </c>
      <c r="E519" s="16"/>
      <c r="F519" s="16"/>
      <c r="G519" s="16"/>
      <c r="H519" s="16">
        <f t="shared" si="424"/>
        <v>36109587</v>
      </c>
      <c r="I519" s="16"/>
      <c r="J519" s="436">
        <f t="shared" si="425"/>
        <v>4.021554095220258E-3</v>
      </c>
      <c r="K519" s="16"/>
      <c r="L519" s="16"/>
      <c r="M519" s="16"/>
      <c r="N519" s="16">
        <f t="shared" si="426"/>
        <v>693255</v>
      </c>
      <c r="O519" s="16">
        <f t="shared" si="427"/>
        <v>70803.111764705885</v>
      </c>
      <c r="P519" s="41"/>
      <c r="Q519" s="17">
        <f t="shared" si="428"/>
        <v>693255</v>
      </c>
      <c r="R519" s="16"/>
      <c r="S519" s="60">
        <f t="shared" si="429"/>
        <v>0.30144006848350707</v>
      </c>
      <c r="T519" s="16"/>
      <c r="U519" s="41"/>
      <c r="V519" s="10">
        <f t="shared" si="349"/>
        <v>411</v>
      </c>
      <c r="W519" s="34">
        <v>614</v>
      </c>
      <c r="X519" s="33">
        <v>4256</v>
      </c>
      <c r="Y519" s="33"/>
      <c r="Z519" s="33">
        <f t="shared" si="430"/>
        <v>2796</v>
      </c>
      <c r="AA519" s="33">
        <f t="shared" si="431"/>
        <v>617672</v>
      </c>
      <c r="AB519" s="33"/>
      <c r="AC519" s="46">
        <f t="shared" si="432"/>
        <v>1.7105485033656019E-2</v>
      </c>
      <c r="AD519" s="33"/>
      <c r="AE519" s="33">
        <f t="shared" si="433"/>
        <v>1211.1215686274509</v>
      </c>
      <c r="AF519" s="50"/>
      <c r="AG519" s="33">
        <f t="shared" si="434"/>
        <v>3355</v>
      </c>
      <c r="AH519" s="33">
        <f>SUM(D490:D1262)</f>
        <v>827096555.06091404</v>
      </c>
      <c r="AI519" s="213">
        <f t="shared" si="435"/>
        <v>0.28840245775729645</v>
      </c>
      <c r="AJ519" s="50"/>
      <c r="AK519" s="111"/>
      <c r="AL519" s="23">
        <f t="shared" si="436"/>
        <v>83743</v>
      </c>
      <c r="AM519" s="24"/>
      <c r="AN519" s="24"/>
      <c r="AO519" s="24">
        <v>178263</v>
      </c>
      <c r="AP519" s="24">
        <v>30050064</v>
      </c>
      <c r="AQ519" s="24">
        <v>20336656</v>
      </c>
      <c r="AR519" s="461">
        <f t="shared" si="437"/>
        <v>2.7945706114541054E-3</v>
      </c>
      <c r="AS519" s="25"/>
      <c r="AT519" s="25"/>
      <c r="AU519" s="24"/>
      <c r="AV519" s="298">
        <f t="shared" si="438"/>
        <v>0.83219074203202603</v>
      </c>
      <c r="AW519" s="298"/>
      <c r="AX519" s="24">
        <f t="shared" si="439"/>
        <v>58921.694117647057</v>
      </c>
      <c r="AY519" s="308"/>
      <c r="AZ519" s="111"/>
      <c r="BA519" s="65">
        <f t="shared" si="440"/>
        <v>3442163</v>
      </c>
      <c r="BB519" s="66"/>
      <c r="BC519" s="66">
        <v>551091085</v>
      </c>
      <c r="BD519" s="66"/>
      <c r="BE519" s="66">
        <f t="shared" si="441"/>
        <v>144635</v>
      </c>
      <c r="BF519" s="66"/>
      <c r="BG519" s="144">
        <f t="shared" si="442"/>
        <v>4.2018637699609229E-2</v>
      </c>
      <c r="BH519" s="66"/>
      <c r="BI519" s="170"/>
      <c r="BJ519" s="66"/>
      <c r="BK519" s="66">
        <f t="shared" si="443"/>
        <v>10708736</v>
      </c>
      <c r="BL519" s="66"/>
      <c r="BM519" s="144">
        <f t="shared" si="444"/>
        <v>6.4737332211756829E-2</v>
      </c>
      <c r="BN519" s="65">
        <f t="shared" si="445"/>
        <v>1080570.7549019607</v>
      </c>
      <c r="BO519" s="66"/>
      <c r="BP519" s="66">
        <f t="shared" si="446"/>
        <v>35202609</v>
      </c>
      <c r="BQ519" s="66"/>
      <c r="BR519" s="435">
        <f t="shared" si="447"/>
        <v>6.387802299505535E-2</v>
      </c>
      <c r="BS519" s="66"/>
      <c r="BT519" s="75"/>
      <c r="BU519" s="170"/>
      <c r="BV519" s="1"/>
      <c r="BW519" s="61">
        <f t="shared" si="399"/>
        <v>510</v>
      </c>
    </row>
    <row r="520" spans="2:75" x14ac:dyDescent="0.3">
      <c r="B520" s="158">
        <f t="shared" si="448"/>
        <v>44420</v>
      </c>
      <c r="C520" s="61"/>
      <c r="D520" s="17">
        <v>143537</v>
      </c>
      <c r="E520" s="16"/>
      <c r="F520" s="16"/>
      <c r="G520" s="16"/>
      <c r="H520" s="16">
        <f t="shared" si="424"/>
        <v>36253124</v>
      </c>
      <c r="I520" s="16"/>
      <c r="J520" s="436">
        <f t="shared" si="425"/>
        <v>3.975038540318946E-3</v>
      </c>
      <c r="K520" s="16"/>
      <c r="L520" s="16"/>
      <c r="M520" s="16"/>
      <c r="N520" s="16">
        <f t="shared" si="426"/>
        <v>715847</v>
      </c>
      <c r="O520" s="16">
        <f t="shared" si="427"/>
        <v>70945.448140900189</v>
      </c>
      <c r="P520" s="41"/>
      <c r="Q520" s="17">
        <f t="shared" si="428"/>
        <v>715847</v>
      </c>
      <c r="R520" s="16"/>
      <c r="S520" s="60">
        <f t="shared" si="429"/>
        <v>0.2578248684360806</v>
      </c>
      <c r="T520" s="16"/>
      <c r="U520" s="41"/>
      <c r="V520" s="10">
        <f t="shared" si="349"/>
        <v>412</v>
      </c>
      <c r="W520" s="34">
        <v>660</v>
      </c>
      <c r="X520" s="33">
        <v>4256</v>
      </c>
      <c r="Y520" s="33"/>
      <c r="Z520" s="33">
        <f t="shared" si="430"/>
        <v>2706</v>
      </c>
      <c r="AA520" s="33">
        <f t="shared" si="431"/>
        <v>618332</v>
      </c>
      <c r="AB520" s="33"/>
      <c r="AC520" s="46">
        <f t="shared" si="432"/>
        <v>1.7055964611491135E-2</v>
      </c>
      <c r="AD520" s="33"/>
      <c r="AE520" s="33">
        <f t="shared" si="433"/>
        <v>1210.0430528375734</v>
      </c>
      <c r="AF520" s="50"/>
      <c r="AG520" s="33">
        <f t="shared" si="434"/>
        <v>3456</v>
      </c>
      <c r="AH520" s="33">
        <f>SUM(D491:D1263)</f>
        <v>827056801.06091404</v>
      </c>
      <c r="AI520" s="213">
        <f t="shared" si="435"/>
        <v>0.29051530993278568</v>
      </c>
      <c r="AJ520" s="50"/>
      <c r="AK520" s="111"/>
      <c r="AL520" s="23">
        <f t="shared" si="436"/>
        <v>47834</v>
      </c>
      <c r="AM520" s="24"/>
      <c r="AN520" s="24"/>
      <c r="AO520" s="24">
        <v>178263</v>
      </c>
      <c r="AP520" s="24">
        <v>30097898</v>
      </c>
      <c r="AQ520" s="24">
        <v>20336656</v>
      </c>
      <c r="AR520" s="461">
        <f t="shared" si="437"/>
        <v>1.5918102537152666E-3</v>
      </c>
      <c r="AS520" s="25"/>
      <c r="AT520" s="25"/>
      <c r="AU520" s="24"/>
      <c r="AV520" s="298">
        <f t="shared" si="438"/>
        <v>0.83021529399783589</v>
      </c>
      <c r="AW520" s="298"/>
      <c r="AX520" s="24">
        <f t="shared" si="439"/>
        <v>58899.996086105675</v>
      </c>
      <c r="AY520" s="308"/>
      <c r="AZ520" s="111"/>
      <c r="BA520" s="65">
        <f t="shared" si="440"/>
        <v>1317096</v>
      </c>
      <c r="BB520" s="66"/>
      <c r="BC520" s="66">
        <v>552408181</v>
      </c>
      <c r="BD520" s="66"/>
      <c r="BE520" s="66">
        <f t="shared" si="441"/>
        <v>143537</v>
      </c>
      <c r="BF520" s="66"/>
      <c r="BG520" s="144">
        <f t="shared" si="442"/>
        <v>0.10897990731123623</v>
      </c>
      <c r="BH520" s="66"/>
      <c r="BI520" s="170"/>
      <c r="BJ520" s="66"/>
      <c r="BK520" s="66">
        <f t="shared" si="443"/>
        <v>10925219</v>
      </c>
      <c r="BL520" s="66"/>
      <c r="BM520" s="144">
        <f t="shared" si="444"/>
        <v>6.5522439412884992E-2</v>
      </c>
      <c r="BN520" s="65">
        <f t="shared" si="445"/>
        <v>1081033.6223091977</v>
      </c>
      <c r="BO520" s="66"/>
      <c r="BP520" s="66">
        <f t="shared" si="446"/>
        <v>35346146</v>
      </c>
      <c r="BQ520" s="66"/>
      <c r="BR520" s="435">
        <f t="shared" si="447"/>
        <v>6.3985558533934894E-2</v>
      </c>
      <c r="BS520" s="66"/>
      <c r="BT520" s="75"/>
      <c r="BU520" s="170"/>
      <c r="BV520" s="1"/>
      <c r="BW520" s="61">
        <f t="shared" si="399"/>
        <v>511</v>
      </c>
    </row>
    <row r="521" spans="2:75" x14ac:dyDescent="0.3">
      <c r="B521" s="158">
        <f t="shared" si="448"/>
        <v>44421</v>
      </c>
      <c r="C521" s="61"/>
      <c r="D521" s="17">
        <v>155297</v>
      </c>
      <c r="E521" s="16"/>
      <c r="F521" s="16"/>
      <c r="G521" s="16"/>
      <c r="H521" s="16">
        <f t="shared" si="424"/>
        <v>36408421</v>
      </c>
      <c r="I521" s="16"/>
      <c r="J521" s="436">
        <f t="shared" si="425"/>
        <v>4.2836860073079495E-3</v>
      </c>
      <c r="K521" s="16"/>
      <c r="L521" s="16"/>
      <c r="M521" s="16"/>
      <c r="N521" s="16">
        <f t="shared" si="426"/>
        <v>740438</v>
      </c>
      <c r="O521" s="16">
        <f t="shared" si="427"/>
        <v>71110.197265625</v>
      </c>
      <c r="P521" s="41"/>
      <c r="Q521" s="17">
        <f t="shared" si="428"/>
        <v>740438</v>
      </c>
      <c r="R521" s="16"/>
      <c r="S521" s="60">
        <f t="shared" si="429"/>
        <v>0.23669543344752081</v>
      </c>
      <c r="T521" s="16"/>
      <c r="U521" s="41"/>
      <c r="V521" s="10">
        <f t="shared" si="349"/>
        <v>413</v>
      </c>
      <c r="W521" s="34">
        <v>769</v>
      </c>
      <c r="X521" s="33">
        <v>4256</v>
      </c>
      <c r="Y521" s="33"/>
      <c r="Z521" s="33">
        <f t="shared" si="430"/>
        <v>3155</v>
      </c>
      <c r="AA521" s="33">
        <f t="shared" si="431"/>
        <v>619101</v>
      </c>
      <c r="AB521" s="33"/>
      <c r="AC521" s="46">
        <f t="shared" si="432"/>
        <v>1.7004335343188876E-2</v>
      </c>
      <c r="AD521" s="33"/>
      <c r="AE521" s="33">
        <f t="shared" si="433"/>
        <v>1209.181640625</v>
      </c>
      <c r="AF521" s="50"/>
      <c r="AG521" s="33">
        <f t="shared" si="434"/>
        <v>3475</v>
      </c>
      <c r="AH521" s="33">
        <f>SUM(D492:D1264)</f>
        <v>827021354.06091404</v>
      </c>
      <c r="AI521" s="213">
        <f t="shared" si="435"/>
        <v>0.1587195731910637</v>
      </c>
      <c r="AJ521" s="50"/>
      <c r="AK521" s="111"/>
      <c r="AL521" s="23">
        <f t="shared" si="436"/>
        <v>32194</v>
      </c>
      <c r="AM521" s="24"/>
      <c r="AN521" s="24"/>
      <c r="AO521" s="24">
        <v>178263</v>
      </c>
      <c r="AP521" s="24">
        <v>30130092</v>
      </c>
      <c r="AQ521" s="24">
        <v>20336656</v>
      </c>
      <c r="AR521" s="461">
        <f t="shared" si="437"/>
        <v>1.0696428036270174E-3</v>
      </c>
      <c r="AS521" s="25"/>
      <c r="AT521" s="25"/>
      <c r="AU521" s="24"/>
      <c r="AV521" s="298">
        <f t="shared" si="438"/>
        <v>0.82755832778356408</v>
      </c>
      <c r="AW521" s="298"/>
      <c r="AX521" s="24">
        <f t="shared" si="439"/>
        <v>58847.8359375</v>
      </c>
      <c r="AY521" s="308"/>
      <c r="AZ521" s="111"/>
      <c r="BA521" s="65">
        <f t="shared" si="440"/>
        <v>1559142</v>
      </c>
      <c r="BB521" s="66"/>
      <c r="BC521" s="66">
        <v>553967323</v>
      </c>
      <c r="BD521" s="66"/>
      <c r="BE521" s="66">
        <f t="shared" si="441"/>
        <v>155297</v>
      </c>
      <c r="BF521" s="66"/>
      <c r="BG521" s="144">
        <f t="shared" si="442"/>
        <v>9.9604141252047598E-2</v>
      </c>
      <c r="BH521" s="66"/>
      <c r="BI521" s="170"/>
      <c r="BJ521" s="66"/>
      <c r="BK521" s="66">
        <f t="shared" si="443"/>
        <v>11075476</v>
      </c>
      <c r="BL521" s="66"/>
      <c r="BM521" s="144">
        <f t="shared" si="444"/>
        <v>6.6853830932413205E-2</v>
      </c>
      <c r="BN521" s="65">
        <f t="shared" si="445"/>
        <v>1081967.427734375</v>
      </c>
      <c r="BO521" s="66"/>
      <c r="BP521" s="66">
        <f t="shared" si="446"/>
        <v>35501443</v>
      </c>
      <c r="BQ521" s="66"/>
      <c r="BR521" s="435">
        <f t="shared" si="447"/>
        <v>6.408580709732585E-2</v>
      </c>
      <c r="BS521" s="66"/>
      <c r="BT521" s="75"/>
      <c r="BU521" s="170"/>
      <c r="BV521" s="1"/>
      <c r="BW521" s="61">
        <f t="shared" si="399"/>
        <v>512</v>
      </c>
    </row>
    <row r="522" spans="2:75" x14ac:dyDescent="0.3">
      <c r="B522" s="158">
        <f t="shared" si="448"/>
        <v>44422</v>
      </c>
      <c r="C522" s="61"/>
      <c r="D522" s="17">
        <v>71135</v>
      </c>
      <c r="E522" s="16"/>
      <c r="F522" s="16"/>
      <c r="G522" s="16"/>
      <c r="H522" s="16">
        <f t="shared" si="424"/>
        <v>36479556</v>
      </c>
      <c r="I522" s="16"/>
      <c r="J522" s="436">
        <f t="shared" si="425"/>
        <v>1.953806236200136E-3</v>
      </c>
      <c r="K522" s="16"/>
      <c r="L522" s="16"/>
      <c r="M522" s="16"/>
      <c r="N522" s="16">
        <f t="shared" si="426"/>
        <v>742623</v>
      </c>
      <c r="O522" s="16">
        <f t="shared" si="427"/>
        <v>71110.245614035084</v>
      </c>
      <c r="P522" s="41"/>
      <c r="Q522" s="17">
        <f t="shared" si="428"/>
        <v>742623</v>
      </c>
      <c r="R522" s="16"/>
      <c r="S522" s="60">
        <f t="shared" si="429"/>
        <v>0.20599732044983962</v>
      </c>
      <c r="T522" s="16"/>
      <c r="U522" s="41"/>
      <c r="V522" s="10">
        <f t="shared" si="349"/>
        <v>414</v>
      </c>
      <c r="W522" s="34">
        <v>258</v>
      </c>
      <c r="X522" s="33">
        <v>4256</v>
      </c>
      <c r="Y522" s="33"/>
      <c r="Z522" s="33">
        <f t="shared" si="430"/>
        <v>3284</v>
      </c>
      <c r="AA522" s="33">
        <f t="shared" si="431"/>
        <v>619359</v>
      </c>
      <c r="AB522" s="33"/>
      <c r="AC522" s="46">
        <f t="shared" si="432"/>
        <v>1.6978249406325013E-2</v>
      </c>
      <c r="AD522" s="33"/>
      <c r="AE522" s="33">
        <f t="shared" si="433"/>
        <v>1207.327485380117</v>
      </c>
      <c r="AF522" s="50"/>
      <c r="AG522" s="33">
        <f t="shared" si="434"/>
        <v>3413</v>
      </c>
      <c r="AH522" s="33">
        <f>SUM(D493:D1265)</f>
        <v>826984680.06091404</v>
      </c>
      <c r="AI522" s="213">
        <f t="shared" si="435"/>
        <v>0.10883690708252111</v>
      </c>
      <c r="AJ522" s="50"/>
      <c r="AK522" s="111"/>
      <c r="AL522" s="23">
        <f t="shared" si="436"/>
        <v>14517</v>
      </c>
      <c r="AM522" s="24"/>
      <c r="AN522" s="24"/>
      <c r="AO522" s="24">
        <v>178263</v>
      </c>
      <c r="AP522" s="24">
        <v>30144609</v>
      </c>
      <c r="AQ522" s="24">
        <v>20336656</v>
      </c>
      <c r="AR522" s="461">
        <f t="shared" si="437"/>
        <v>4.8181067618379656E-4</v>
      </c>
      <c r="AS522" s="25"/>
      <c r="AT522" s="25"/>
      <c r="AU522" s="24"/>
      <c r="AV522" s="298">
        <f t="shared" si="438"/>
        <v>0.82634254101118998</v>
      </c>
      <c r="AW522" s="298"/>
      <c r="AX522" s="24">
        <f t="shared" si="439"/>
        <v>58761.42105263158</v>
      </c>
      <c r="AY522" s="308"/>
      <c r="AZ522" s="111"/>
      <c r="BA522" s="65">
        <f t="shared" si="440"/>
        <v>775678</v>
      </c>
      <c r="BB522" s="66"/>
      <c r="BC522" s="66">
        <v>554743001</v>
      </c>
      <c r="BD522" s="66"/>
      <c r="BE522" s="66">
        <f t="shared" si="441"/>
        <v>71135</v>
      </c>
      <c r="BF522" s="66"/>
      <c r="BG522" s="144">
        <f t="shared" si="442"/>
        <v>9.1706868056074808E-2</v>
      </c>
      <c r="BH522" s="66"/>
      <c r="BI522" s="170"/>
      <c r="BJ522" s="66"/>
      <c r="BK522" s="66">
        <f t="shared" si="443"/>
        <v>11014420</v>
      </c>
      <c r="BL522" s="66"/>
      <c r="BM522" s="144">
        <f t="shared" si="444"/>
        <v>6.7422796661104262E-2</v>
      </c>
      <c r="BN522" s="65">
        <f t="shared" si="445"/>
        <v>1081370.3723196881</v>
      </c>
      <c r="BO522" s="66"/>
      <c r="BP522" s="66">
        <f t="shared" si="446"/>
        <v>35572578</v>
      </c>
      <c r="BQ522" s="66"/>
      <c r="BR522" s="435">
        <f t="shared" si="447"/>
        <v>6.4124428673954556E-2</v>
      </c>
      <c r="BS522" s="66"/>
      <c r="BT522" s="75"/>
      <c r="BU522" s="170"/>
      <c r="BV522" s="1"/>
      <c r="BW522" s="61">
        <f t="shared" si="399"/>
        <v>513</v>
      </c>
    </row>
    <row r="523" spans="2:75" x14ac:dyDescent="0.3">
      <c r="B523" s="347">
        <f t="shared" si="448"/>
        <v>44423</v>
      </c>
      <c r="C523" s="61"/>
      <c r="D523" s="17">
        <v>30883</v>
      </c>
      <c r="E523" s="16"/>
      <c r="F523" s="16"/>
      <c r="G523" s="16"/>
      <c r="H523" s="16">
        <f t="shared" si="424"/>
        <v>36510439</v>
      </c>
      <c r="I523" s="16"/>
      <c r="J523" s="436">
        <f t="shared" si="425"/>
        <v>8.4658376872788694E-4</v>
      </c>
      <c r="K523" s="16"/>
      <c r="L523" s="16"/>
      <c r="M523" s="16"/>
      <c r="N523" s="16">
        <f t="shared" si="426"/>
        <v>749116</v>
      </c>
      <c r="O523" s="16">
        <f t="shared" si="427"/>
        <v>71031.982490272378</v>
      </c>
      <c r="P523" s="41"/>
      <c r="Q523" s="17">
        <f t="shared" si="428"/>
        <v>749116</v>
      </c>
      <c r="R523" s="16"/>
      <c r="S523" s="60">
        <f t="shared" si="429"/>
        <v>0.21138362572910283</v>
      </c>
      <c r="T523" s="16"/>
      <c r="U523" s="41"/>
      <c r="V523" s="10">
        <f t="shared" si="349"/>
        <v>415</v>
      </c>
      <c r="W523" s="34">
        <v>122</v>
      </c>
      <c r="X523" s="33">
        <v>4256</v>
      </c>
      <c r="Y523" s="33"/>
      <c r="Z523" s="33">
        <f t="shared" si="430"/>
        <v>3080</v>
      </c>
      <c r="AA523" s="33">
        <f t="shared" si="431"/>
        <v>619481</v>
      </c>
      <c r="AB523" s="33"/>
      <c r="AC523" s="46">
        <f t="shared" si="432"/>
        <v>1.6967229564125483E-2</v>
      </c>
      <c r="AD523" s="33"/>
      <c r="AE523" s="33">
        <f t="shared" si="433"/>
        <v>1205.215953307393</v>
      </c>
      <c r="AF523" s="50"/>
      <c r="AG523" s="33">
        <f t="shared" si="434"/>
        <v>3406</v>
      </c>
      <c r="AH523" s="33">
        <f>SUM(D494:D1266)</f>
        <v>826944151.06091404</v>
      </c>
      <c r="AI523" s="213">
        <f t="shared" si="435"/>
        <v>8.3678014635698378E-2</v>
      </c>
      <c r="AJ523" s="50"/>
      <c r="AK523" s="111"/>
      <c r="AL523" s="23">
        <f t="shared" si="436"/>
        <v>8967</v>
      </c>
      <c r="AM523" s="24"/>
      <c r="AN523" s="24"/>
      <c r="AO523" s="24">
        <v>178263</v>
      </c>
      <c r="AP523" s="24">
        <v>30153576</v>
      </c>
      <c r="AQ523" s="24">
        <v>20336656</v>
      </c>
      <c r="AR523" s="461">
        <f t="shared" si="437"/>
        <v>2.9746612404227903E-4</v>
      </c>
      <c r="AS523" s="25"/>
      <c r="AT523" s="25"/>
      <c r="AU523" s="24"/>
      <c r="AV523" s="298">
        <f t="shared" si="438"/>
        <v>0.82588916556166303</v>
      </c>
      <c r="AW523" s="298"/>
      <c r="AX523" s="24">
        <f t="shared" si="439"/>
        <v>58664.544747081709</v>
      </c>
      <c r="AY523" s="308"/>
      <c r="AZ523" s="111"/>
      <c r="BA523" s="65">
        <f t="shared" si="440"/>
        <v>690474</v>
      </c>
      <c r="BB523" s="66"/>
      <c r="BC523" s="66">
        <v>555433475</v>
      </c>
      <c r="BD523" s="66"/>
      <c r="BE523" s="66">
        <f t="shared" si="441"/>
        <v>30883</v>
      </c>
      <c r="BF523" s="66"/>
      <c r="BG523" s="144">
        <f t="shared" si="442"/>
        <v>4.4727245341605909E-2</v>
      </c>
      <c r="BH523" s="66"/>
      <c r="BI523" s="170"/>
      <c r="BJ523" s="66"/>
      <c r="BK523" s="66">
        <f t="shared" si="443"/>
        <v>11052013</v>
      </c>
      <c r="BL523" s="66"/>
      <c r="BM523" s="144">
        <f t="shared" si="444"/>
        <v>6.7780955378897945E-2</v>
      </c>
      <c r="BN523" s="65">
        <f t="shared" si="445"/>
        <v>1080609.8735408559</v>
      </c>
      <c r="BO523" s="66"/>
      <c r="BP523" s="66">
        <f t="shared" si="446"/>
        <v>35603461</v>
      </c>
      <c r="BQ523" s="66"/>
      <c r="BR523" s="435">
        <f t="shared" si="447"/>
        <v>6.4100315523834786E-2</v>
      </c>
      <c r="BS523" s="66"/>
      <c r="BT523" s="75"/>
      <c r="BU523" s="170"/>
      <c r="BV523" s="1"/>
      <c r="BW523" s="61">
        <f t="shared" si="399"/>
        <v>514</v>
      </c>
    </row>
    <row r="524" spans="2:75" x14ac:dyDescent="0.3">
      <c r="B524" s="158">
        <f t="shared" si="448"/>
        <v>44424</v>
      </c>
      <c r="C524" s="61"/>
      <c r="D524" s="17">
        <v>103697</v>
      </c>
      <c r="E524" s="16"/>
      <c r="F524" s="16"/>
      <c r="G524" s="16"/>
      <c r="H524" s="16">
        <f t="shared" si="424"/>
        <v>36614136</v>
      </c>
      <c r="I524" s="16"/>
      <c r="J524" s="436">
        <f t="shared" si="425"/>
        <v>2.8402014010294424E-3</v>
      </c>
      <c r="K524" s="16"/>
      <c r="L524" s="16"/>
      <c r="M524" s="16"/>
      <c r="N524" s="16">
        <f t="shared" si="426"/>
        <v>750438</v>
      </c>
      <c r="O524" s="16">
        <f t="shared" si="427"/>
        <v>71095.409708737861</v>
      </c>
      <c r="P524" s="41"/>
      <c r="Q524" s="17">
        <f t="shared" si="428"/>
        <v>750438</v>
      </c>
      <c r="R524" s="16"/>
      <c r="S524" s="60">
        <f t="shared" si="429"/>
        <v>0.12949219073363605</v>
      </c>
      <c r="T524" s="16"/>
      <c r="U524" s="41"/>
      <c r="V524" s="10">
        <f t="shared" si="349"/>
        <v>416</v>
      </c>
      <c r="W524" s="34">
        <v>308</v>
      </c>
      <c r="X524" s="33">
        <v>4256</v>
      </c>
      <c r="Y524" s="33"/>
      <c r="Z524" s="33">
        <f t="shared" si="430"/>
        <v>2731</v>
      </c>
      <c r="AA524" s="33">
        <f t="shared" si="431"/>
        <v>619789</v>
      </c>
      <c r="AB524" s="33"/>
      <c r="AC524" s="46">
        <f t="shared" si="432"/>
        <v>1.692758774916879E-2</v>
      </c>
      <c r="AD524" s="33"/>
      <c r="AE524" s="33">
        <f t="shared" si="433"/>
        <v>1203.473786407767</v>
      </c>
      <c r="AF524" s="50"/>
      <c r="AG524" s="33">
        <f t="shared" si="434"/>
        <v>3388</v>
      </c>
      <c r="AH524" s="33">
        <f>SUM(D495:D1267)</f>
        <v>826920070.06091404</v>
      </c>
      <c r="AI524" s="213">
        <f t="shared" si="435"/>
        <v>4.0540540540540543E-2</v>
      </c>
      <c r="AJ524" s="50"/>
      <c r="AK524" s="111"/>
      <c r="AL524" s="23">
        <f t="shared" si="436"/>
        <v>73726</v>
      </c>
      <c r="AM524" s="24"/>
      <c r="AN524" s="24"/>
      <c r="AO524" s="24">
        <v>178263</v>
      </c>
      <c r="AP524" s="24">
        <v>30227302</v>
      </c>
      <c r="AQ524" s="24">
        <v>20336656</v>
      </c>
      <c r="AR524" s="461">
        <f t="shared" si="437"/>
        <v>2.4450168033138091E-3</v>
      </c>
      <c r="AS524" s="25"/>
      <c r="AT524" s="25"/>
      <c r="AU524" s="24"/>
      <c r="AV524" s="298">
        <f t="shared" si="438"/>
        <v>0.82556371123983374</v>
      </c>
      <c r="AW524" s="298"/>
      <c r="AX524" s="24">
        <f t="shared" si="439"/>
        <v>58693.790291262136</v>
      </c>
      <c r="AY524" s="308"/>
      <c r="AZ524" s="111"/>
      <c r="BA524" s="65">
        <f t="shared" si="440"/>
        <v>2711353</v>
      </c>
      <c r="BB524" s="66"/>
      <c r="BC524" s="66">
        <v>558144828</v>
      </c>
      <c r="BD524" s="66"/>
      <c r="BE524" s="66">
        <f t="shared" si="441"/>
        <v>103697</v>
      </c>
      <c r="BF524" s="66"/>
      <c r="BG524" s="144">
        <f t="shared" si="442"/>
        <v>3.824548113063847E-2</v>
      </c>
      <c r="BH524" s="66"/>
      <c r="BI524" s="170"/>
      <c r="BJ524" s="66"/>
      <c r="BK524" s="66">
        <f t="shared" si="443"/>
        <v>11522689</v>
      </c>
      <c r="BL524" s="66"/>
      <c r="BM524" s="144">
        <f t="shared" si="444"/>
        <v>6.5126985549987512E-2</v>
      </c>
      <c r="BN524" s="65">
        <f t="shared" si="445"/>
        <v>1083776.3650485438</v>
      </c>
      <c r="BO524" s="66"/>
      <c r="BP524" s="66">
        <f t="shared" si="446"/>
        <v>35707158</v>
      </c>
      <c r="BQ524" s="66"/>
      <c r="BR524" s="435">
        <f t="shared" si="447"/>
        <v>6.3974718045761408E-2</v>
      </c>
      <c r="BS524" s="66"/>
      <c r="BT524" s="75"/>
      <c r="BU524" s="170"/>
      <c r="BV524" s="1"/>
      <c r="BW524" s="61">
        <f t="shared" si="399"/>
        <v>515</v>
      </c>
    </row>
    <row r="525" spans="2:75" x14ac:dyDescent="0.3">
      <c r="B525" s="158">
        <f t="shared" si="448"/>
        <v>44425</v>
      </c>
      <c r="C525" s="61"/>
      <c r="D525" s="17">
        <v>144294</v>
      </c>
      <c r="E525" s="16"/>
      <c r="F525" s="16"/>
      <c r="G525" s="16"/>
      <c r="H525" s="16">
        <f t="shared" si="424"/>
        <v>36758430</v>
      </c>
      <c r="I525" s="16"/>
      <c r="J525" s="436">
        <f t="shared" si="425"/>
        <v>3.9409369102687553E-3</v>
      </c>
      <c r="K525" s="16"/>
      <c r="L525" s="16"/>
      <c r="M525" s="16"/>
      <c r="N525" s="16">
        <f t="shared" si="426"/>
        <v>793478</v>
      </c>
      <c r="O525" s="16">
        <f t="shared" si="427"/>
        <v>71237.267441860458</v>
      </c>
      <c r="P525" s="41"/>
      <c r="Q525" s="17">
        <f t="shared" si="428"/>
        <v>793478</v>
      </c>
      <c r="R525" s="16"/>
      <c r="S525" s="60">
        <f t="shared" si="429"/>
        <v>0.2006040257285909</v>
      </c>
      <c r="T525" s="16"/>
      <c r="U525" s="41"/>
      <c r="V525" s="10">
        <f t="shared" si="349"/>
        <v>417</v>
      </c>
      <c r="W525" s="34">
        <v>945</v>
      </c>
      <c r="X525" s="33">
        <v>4256</v>
      </c>
      <c r="Y525" s="33"/>
      <c r="Z525" s="33">
        <f t="shared" si="430"/>
        <v>3062</v>
      </c>
      <c r="AA525" s="33">
        <f t="shared" si="431"/>
        <v>620734</v>
      </c>
      <c r="AB525" s="33"/>
      <c r="AC525" s="46">
        <f t="shared" si="432"/>
        <v>1.6886847452407514E-2</v>
      </c>
      <c r="AD525" s="33"/>
      <c r="AE525" s="33">
        <f t="shared" si="433"/>
        <v>1202.9728682170542</v>
      </c>
      <c r="AF525" s="50"/>
      <c r="AG525" s="33">
        <f t="shared" si="434"/>
        <v>3676</v>
      </c>
      <c r="AH525" s="33">
        <f>SUM(D496:D1268)</f>
        <v>826897792.06091404</v>
      </c>
      <c r="AI525" s="213">
        <f t="shared" si="435"/>
        <v>8.2131292316750079E-2</v>
      </c>
      <c r="AJ525" s="50"/>
      <c r="AK525" s="111"/>
      <c r="AL525" s="23">
        <f t="shared" si="436"/>
        <v>65283</v>
      </c>
      <c r="AM525" s="24"/>
      <c r="AN525" s="24"/>
      <c r="AO525" s="24">
        <v>178263</v>
      </c>
      <c r="AP525" s="24">
        <v>30292585</v>
      </c>
      <c r="AQ525" s="24">
        <v>20336656</v>
      </c>
      <c r="AR525" s="461">
        <f t="shared" si="437"/>
        <v>2.159736254330605E-3</v>
      </c>
      <c r="AS525" s="25"/>
      <c r="AT525" s="25"/>
      <c r="AU525" s="24"/>
      <c r="AV525" s="298">
        <f t="shared" si="438"/>
        <v>0.82409898899381717</v>
      </c>
      <c r="AW525" s="298"/>
      <c r="AX525" s="24">
        <f t="shared" si="439"/>
        <v>58706.560077519382</v>
      </c>
      <c r="AY525" s="308"/>
      <c r="AZ525" s="111"/>
      <c r="BA525" s="65">
        <f t="shared" si="440"/>
        <v>2301291</v>
      </c>
      <c r="BB525" s="66"/>
      <c r="BC525" s="66">
        <v>560446119</v>
      </c>
      <c r="BD525" s="66"/>
      <c r="BE525" s="66">
        <f t="shared" si="441"/>
        <v>144294</v>
      </c>
      <c r="BF525" s="66"/>
      <c r="BG525" s="144">
        <f t="shared" si="442"/>
        <v>6.2701327211552124E-2</v>
      </c>
      <c r="BH525" s="66"/>
      <c r="BI525" s="170"/>
      <c r="BJ525" s="66"/>
      <c r="BK525" s="66">
        <f t="shared" si="443"/>
        <v>12797197</v>
      </c>
      <c r="BL525" s="66"/>
      <c r="BM525" s="144">
        <f t="shared" si="444"/>
        <v>6.2004046667406935E-2</v>
      </c>
      <c r="BN525" s="65">
        <f t="shared" si="445"/>
        <v>1086135.8895348837</v>
      </c>
      <c r="BO525" s="66"/>
      <c r="BP525" s="66">
        <f t="shared" si="446"/>
        <v>35851452</v>
      </c>
      <c r="BQ525" s="66"/>
      <c r="BR525" s="435">
        <f t="shared" si="447"/>
        <v>6.3969489277523217E-2</v>
      </c>
      <c r="BS525" s="66"/>
      <c r="BT525" s="75"/>
      <c r="BU525" s="170"/>
      <c r="BV525" s="1"/>
      <c r="BW525" s="61">
        <f t="shared" si="399"/>
        <v>516</v>
      </c>
    </row>
    <row r="526" spans="2:75" x14ac:dyDescent="0.3">
      <c r="B526" s="158">
        <f t="shared" si="448"/>
        <v>44426</v>
      </c>
      <c r="C526" s="61"/>
      <c r="D526" s="17">
        <v>158127</v>
      </c>
      <c r="E526" s="16"/>
      <c r="F526" s="16"/>
      <c r="G526" s="16"/>
      <c r="H526" s="16">
        <f t="shared" si="424"/>
        <v>36916557</v>
      </c>
      <c r="I526" s="16"/>
      <c r="J526" s="436">
        <f t="shared" si="425"/>
        <v>4.3017887325437999E-3</v>
      </c>
      <c r="K526" s="16"/>
      <c r="L526" s="16"/>
      <c r="M526" s="16"/>
      <c r="N526" s="16">
        <f t="shared" si="426"/>
        <v>806970</v>
      </c>
      <c r="O526" s="16">
        <f t="shared" si="427"/>
        <v>71405.332688588009</v>
      </c>
      <c r="P526" s="41"/>
      <c r="Q526" s="17">
        <f t="shared" si="428"/>
        <v>806970</v>
      </c>
      <c r="R526" s="16"/>
      <c r="S526" s="60">
        <f t="shared" si="429"/>
        <v>0.16403055152865828</v>
      </c>
      <c r="T526" s="16"/>
      <c r="U526" s="41"/>
      <c r="V526" s="10">
        <f t="shared" si="349"/>
        <v>418</v>
      </c>
      <c r="W526" s="34">
        <v>1127</v>
      </c>
      <c r="X526" s="33">
        <v>4256</v>
      </c>
      <c r="Y526" s="33"/>
      <c r="Z526" s="33">
        <f t="shared" si="430"/>
        <v>3529</v>
      </c>
      <c r="AA526" s="33">
        <f t="shared" si="431"/>
        <v>621861</v>
      </c>
      <c r="AB526" s="33"/>
      <c r="AC526" s="46">
        <f t="shared" si="432"/>
        <v>1.6845043268796708E-2</v>
      </c>
      <c r="AD526" s="33"/>
      <c r="AE526" s="33">
        <f t="shared" si="433"/>
        <v>1202.825918762089</v>
      </c>
      <c r="AF526" s="50"/>
      <c r="AG526" s="33">
        <f t="shared" si="434"/>
        <v>4189</v>
      </c>
      <c r="AH526" s="33">
        <f>SUM(D497:D1269)</f>
        <v>826865216.06091404</v>
      </c>
      <c r="AI526" s="213">
        <f t="shared" si="435"/>
        <v>0.24858420268256334</v>
      </c>
      <c r="AJ526" s="50"/>
      <c r="AK526" s="111"/>
      <c r="AL526" s="23">
        <f t="shared" si="436"/>
        <v>49301</v>
      </c>
      <c r="AM526" s="24"/>
      <c r="AN526" s="24"/>
      <c r="AO526" s="24">
        <v>178263</v>
      </c>
      <c r="AP526" s="24">
        <v>30341886</v>
      </c>
      <c r="AQ526" s="24">
        <v>20336656</v>
      </c>
      <c r="AR526" s="461">
        <f t="shared" si="437"/>
        <v>1.6274939890405524E-3</v>
      </c>
      <c r="AS526" s="25"/>
      <c r="AT526" s="25"/>
      <c r="AU526" s="24"/>
      <c r="AV526" s="298">
        <f t="shared" si="438"/>
        <v>0.82190454543201308</v>
      </c>
      <c r="AW526" s="298"/>
      <c r="AX526" s="24">
        <f t="shared" si="439"/>
        <v>58688.367504835587</v>
      </c>
      <c r="AY526" s="308"/>
      <c r="AZ526" s="111"/>
      <c r="BA526" s="65">
        <f t="shared" si="440"/>
        <v>1381861</v>
      </c>
      <c r="BB526" s="66"/>
      <c r="BC526" s="66">
        <v>561827980</v>
      </c>
      <c r="BD526" s="66"/>
      <c r="BE526" s="66">
        <f t="shared" si="441"/>
        <v>158127</v>
      </c>
      <c r="BF526" s="66"/>
      <c r="BG526" s="144">
        <f t="shared" si="442"/>
        <v>0.11443046731907189</v>
      </c>
      <c r="BH526" s="66"/>
      <c r="BI526" s="170"/>
      <c r="BJ526" s="66"/>
      <c r="BK526" s="66">
        <f t="shared" si="443"/>
        <v>10736895</v>
      </c>
      <c r="BL526" s="66"/>
      <c r="BM526" s="144">
        <f t="shared" si="444"/>
        <v>7.5158600321601363E-2</v>
      </c>
      <c r="BN526" s="65">
        <f t="shared" si="445"/>
        <v>1086707.8916827852</v>
      </c>
      <c r="BO526" s="66"/>
      <c r="BP526" s="66">
        <f t="shared" si="446"/>
        <v>36009579</v>
      </c>
      <c r="BQ526" s="66"/>
      <c r="BR526" s="435">
        <f t="shared" si="447"/>
        <v>6.4093602102195057E-2</v>
      </c>
      <c r="BS526" s="66"/>
      <c r="BT526" s="75"/>
      <c r="BU526" s="170"/>
      <c r="BV526" s="1"/>
      <c r="BW526" s="61">
        <f t="shared" si="399"/>
        <v>517</v>
      </c>
    </row>
    <row r="527" spans="2:75" x14ac:dyDescent="0.3">
      <c r="B527" s="158">
        <f t="shared" si="448"/>
        <v>44427</v>
      </c>
      <c r="C527" s="61"/>
      <c r="D527" s="17">
        <v>154917</v>
      </c>
      <c r="E527" s="16"/>
      <c r="F527" s="16"/>
      <c r="G527" s="16"/>
      <c r="H527" s="16">
        <f t="shared" si="424"/>
        <v>37071474</v>
      </c>
      <c r="I527" s="16"/>
      <c r="J527" s="436">
        <f t="shared" si="425"/>
        <v>4.1964097572804527E-3</v>
      </c>
      <c r="K527" s="16"/>
      <c r="L527" s="16"/>
      <c r="M527" s="16"/>
      <c r="N527" s="16">
        <f t="shared" si="426"/>
        <v>818350</v>
      </c>
      <c r="O527" s="16">
        <f t="shared" si="427"/>
        <v>71566.55212355213</v>
      </c>
      <c r="P527" s="41"/>
      <c r="Q527" s="17">
        <f t="shared" si="428"/>
        <v>818350</v>
      </c>
      <c r="R527" s="16"/>
      <c r="S527" s="60">
        <f t="shared" si="429"/>
        <v>0.14319121264739532</v>
      </c>
      <c r="T527" s="16"/>
      <c r="U527" s="41"/>
      <c r="V527" s="10">
        <f t="shared" si="349"/>
        <v>419</v>
      </c>
      <c r="W527" s="34">
        <v>967</v>
      </c>
      <c r="X527" s="33">
        <v>4256</v>
      </c>
      <c r="Y527" s="33"/>
      <c r="Z527" s="33">
        <f t="shared" si="430"/>
        <v>3727</v>
      </c>
      <c r="AA527" s="33">
        <f t="shared" si="431"/>
        <v>622828</v>
      </c>
      <c r="AB527" s="33"/>
      <c r="AC527" s="46">
        <f t="shared" si="432"/>
        <v>1.6800734710467675E-2</v>
      </c>
      <c r="AD527" s="33"/>
      <c r="AE527" s="33">
        <f t="shared" si="433"/>
        <v>1202.3706563706564</v>
      </c>
      <c r="AF527" s="50"/>
      <c r="AG527" s="33">
        <f t="shared" si="434"/>
        <v>4496</v>
      </c>
      <c r="AH527" s="33">
        <f>SUM(D498:D1270)</f>
        <v>826820984.06091404</v>
      </c>
      <c r="AI527" s="213">
        <f t="shared" si="435"/>
        <v>0.30092592592592593</v>
      </c>
      <c r="AJ527" s="50"/>
      <c r="AK527" s="111"/>
      <c r="AL527" s="23">
        <f t="shared" si="436"/>
        <v>48783</v>
      </c>
      <c r="AM527" s="24"/>
      <c r="AN527" s="24"/>
      <c r="AO527" s="24">
        <v>178263</v>
      </c>
      <c r="AP527" s="24">
        <v>30390669</v>
      </c>
      <c r="AQ527" s="24">
        <v>20336656</v>
      </c>
      <c r="AR527" s="461">
        <f t="shared" si="437"/>
        <v>1.6077774466623466E-3</v>
      </c>
      <c r="AS527" s="25"/>
      <c r="AT527" s="25"/>
      <c r="AU527" s="24"/>
      <c r="AV527" s="298">
        <f t="shared" si="438"/>
        <v>0.81978582777690467</v>
      </c>
      <c r="AW527" s="298"/>
      <c r="AX527" s="24">
        <f t="shared" si="439"/>
        <v>58669.24517374517</v>
      </c>
      <c r="AY527" s="308"/>
      <c r="AZ527" s="111"/>
      <c r="BA527" s="65">
        <f t="shared" si="440"/>
        <v>1539485</v>
      </c>
      <c r="BB527" s="66"/>
      <c r="BC527" s="66">
        <v>563367465</v>
      </c>
      <c r="BD527" s="66"/>
      <c r="BE527" s="66">
        <f t="shared" si="441"/>
        <v>154917</v>
      </c>
      <c r="BF527" s="66"/>
      <c r="BG527" s="144">
        <f t="shared" si="442"/>
        <v>0.10062910648690958</v>
      </c>
      <c r="BH527" s="66"/>
      <c r="BI527" s="170"/>
      <c r="BJ527" s="66"/>
      <c r="BK527" s="66">
        <f t="shared" si="443"/>
        <v>10959284</v>
      </c>
      <c r="BL527" s="66"/>
      <c r="BM527" s="144">
        <f t="shared" si="444"/>
        <v>7.4671849000354409E-2</v>
      </c>
      <c r="BN527" s="65">
        <f t="shared" si="445"/>
        <v>1087581.9787644788</v>
      </c>
      <c r="BO527" s="66"/>
      <c r="BP527" s="66">
        <f t="shared" si="446"/>
        <v>36164496</v>
      </c>
      <c r="BQ527" s="66"/>
      <c r="BR527" s="435">
        <f t="shared" si="447"/>
        <v>6.4193440776705135E-2</v>
      </c>
      <c r="BS527" s="66"/>
      <c r="BT527" s="75"/>
      <c r="BU527" s="170"/>
      <c r="BV527" s="1"/>
      <c r="BW527" s="61">
        <f t="shared" si="399"/>
        <v>518</v>
      </c>
    </row>
    <row r="528" spans="2:75" x14ac:dyDescent="0.3">
      <c r="B528" s="158">
        <f t="shared" si="448"/>
        <v>44428</v>
      </c>
      <c r="C528" s="61"/>
      <c r="D528" s="17">
        <v>151108</v>
      </c>
      <c r="E528" s="16"/>
      <c r="F528" s="16"/>
      <c r="G528" s="16"/>
      <c r="H528" s="16">
        <f t="shared" si="424"/>
        <v>37222582</v>
      </c>
      <c r="I528" s="16"/>
      <c r="J528" s="436">
        <f t="shared" si="425"/>
        <v>4.076126026173116E-3</v>
      </c>
      <c r="K528" s="16"/>
      <c r="L528" s="16"/>
      <c r="M528" s="16"/>
      <c r="N528" s="16">
        <f t="shared" si="426"/>
        <v>814161</v>
      </c>
      <c r="O528" s="16">
        <f t="shared" si="427"/>
        <v>71719.811175337192</v>
      </c>
      <c r="P528" s="41"/>
      <c r="Q528" s="17">
        <f t="shared" si="428"/>
        <v>814161</v>
      </c>
      <c r="R528" s="16"/>
      <c r="S528" s="60">
        <f t="shared" si="429"/>
        <v>9.9566742927834601E-2</v>
      </c>
      <c r="T528" s="16"/>
      <c r="U528" s="41"/>
      <c r="V528" s="10">
        <f t="shared" si="349"/>
        <v>420</v>
      </c>
      <c r="W528" s="34">
        <v>1059</v>
      </c>
      <c r="X528" s="33">
        <v>4256</v>
      </c>
      <c r="Y528" s="33"/>
      <c r="Z528" s="33">
        <f t="shared" si="430"/>
        <v>4528</v>
      </c>
      <c r="AA528" s="33">
        <f t="shared" si="431"/>
        <v>623887</v>
      </c>
      <c r="AB528" s="33"/>
      <c r="AC528" s="46">
        <f t="shared" si="432"/>
        <v>1.6760981277440669E-2</v>
      </c>
      <c r="AD528" s="33"/>
      <c r="AE528" s="33">
        <f t="shared" si="433"/>
        <v>1202.0944123314066</v>
      </c>
      <c r="AF528" s="50"/>
      <c r="AG528" s="33">
        <f t="shared" si="434"/>
        <v>4786</v>
      </c>
      <c r="AH528" s="33">
        <f>SUM(D499:D1271)</f>
        <v>826764459.06091404</v>
      </c>
      <c r="AI528" s="213">
        <f t="shared" si="435"/>
        <v>0.37726618705035969</v>
      </c>
      <c r="AJ528" s="50"/>
      <c r="AK528" s="111"/>
      <c r="AL528" s="23">
        <f t="shared" si="436"/>
        <v>48570</v>
      </c>
      <c r="AM528" s="24"/>
      <c r="AN528" s="24"/>
      <c r="AO528" s="24">
        <v>178263</v>
      </c>
      <c r="AP528" s="24">
        <v>30439239</v>
      </c>
      <c r="AQ528" s="24">
        <v>20336656</v>
      </c>
      <c r="AR528" s="461">
        <f t="shared" si="437"/>
        <v>1.5981879174821719E-3</v>
      </c>
      <c r="AS528" s="25"/>
      <c r="AT528" s="25"/>
      <c r="AU528" s="24"/>
      <c r="AV528" s="298">
        <f t="shared" si="438"/>
        <v>0.81776269577430172</v>
      </c>
      <c r="AW528" s="298"/>
      <c r="AX528" s="24">
        <f t="shared" si="439"/>
        <v>58649.78612716763</v>
      </c>
      <c r="AY528" s="308"/>
      <c r="AZ528" s="111"/>
      <c r="BA528" s="65">
        <f t="shared" si="440"/>
        <v>1649005</v>
      </c>
      <c r="BB528" s="66"/>
      <c r="BC528" s="66">
        <v>565016470</v>
      </c>
      <c r="BD528" s="66"/>
      <c r="BE528" s="66">
        <f t="shared" si="441"/>
        <v>151108</v>
      </c>
      <c r="BF528" s="66"/>
      <c r="BG528" s="144">
        <f t="shared" si="442"/>
        <v>9.163586526420478E-2</v>
      </c>
      <c r="BH528" s="66"/>
      <c r="BI528" s="170"/>
      <c r="BJ528" s="66"/>
      <c r="BK528" s="66">
        <f t="shared" si="443"/>
        <v>11049147</v>
      </c>
      <c r="BL528" s="66"/>
      <c r="BM528" s="144">
        <f t="shared" si="444"/>
        <v>7.3685416620848654E-2</v>
      </c>
      <c r="BN528" s="65">
        <f t="shared" si="445"/>
        <v>1088663.7186897881</v>
      </c>
      <c r="BO528" s="66"/>
      <c r="BP528" s="66">
        <f t="shared" si="446"/>
        <v>36315604</v>
      </c>
      <c r="BQ528" s="66"/>
      <c r="BR528" s="435">
        <f t="shared" si="447"/>
        <v>6.427353170784561E-2</v>
      </c>
      <c r="BS528" s="66"/>
      <c r="BT528" s="75"/>
      <c r="BU528" s="170"/>
      <c r="BV528" s="1"/>
      <c r="BW528" s="61">
        <f t="shared" si="399"/>
        <v>519</v>
      </c>
    </row>
    <row r="529" spans="2:75" x14ac:dyDescent="0.3">
      <c r="B529" s="158">
        <f t="shared" si="448"/>
        <v>44429</v>
      </c>
      <c r="C529" s="61"/>
      <c r="D529" s="17">
        <v>145083</v>
      </c>
      <c r="E529" s="16"/>
      <c r="F529" s="16"/>
      <c r="G529" s="16"/>
      <c r="H529" s="16">
        <f t="shared" si="424"/>
        <v>37367665</v>
      </c>
      <c r="I529" s="16"/>
      <c r="J529" s="436">
        <f t="shared" si="425"/>
        <v>3.8977145647768334E-3</v>
      </c>
      <c r="K529" s="16"/>
      <c r="L529" s="16"/>
      <c r="M529" s="16"/>
      <c r="N529" s="16">
        <f t="shared" si="426"/>
        <v>888109</v>
      </c>
      <c r="O529" s="16">
        <f t="shared" si="427"/>
        <v>71860.894230769234</v>
      </c>
      <c r="P529" s="41"/>
      <c r="Q529" s="17">
        <f t="shared" si="428"/>
        <v>888109</v>
      </c>
      <c r="R529" s="16"/>
      <c r="S529" s="60">
        <f t="shared" si="429"/>
        <v>0.19590828724669179</v>
      </c>
      <c r="T529" s="16"/>
      <c r="U529" s="41"/>
      <c r="V529" s="10">
        <f t="shared" si="349"/>
        <v>421</v>
      </c>
      <c r="W529" s="34">
        <v>783</v>
      </c>
      <c r="X529" s="33">
        <v>4256</v>
      </c>
      <c r="Y529" s="33"/>
      <c r="Z529" s="33">
        <f t="shared" si="430"/>
        <v>5189</v>
      </c>
      <c r="AA529" s="33">
        <f t="shared" si="431"/>
        <v>624670</v>
      </c>
      <c r="AB529" s="33"/>
      <c r="AC529" s="46">
        <f t="shared" si="432"/>
        <v>1.6716859348851473E-2</v>
      </c>
      <c r="AD529" s="33"/>
      <c r="AE529" s="33">
        <f t="shared" si="433"/>
        <v>1201.2884615384614</v>
      </c>
      <c r="AF529" s="50"/>
      <c r="AG529" s="33">
        <f t="shared" si="434"/>
        <v>5311</v>
      </c>
      <c r="AH529" s="33">
        <f>SUM(D500:D1272)</f>
        <v>826702808.06091404</v>
      </c>
      <c r="AI529" s="213">
        <f t="shared" si="435"/>
        <v>0.55610899501904487</v>
      </c>
      <c r="AJ529" s="50"/>
      <c r="AK529" s="111"/>
      <c r="AL529" s="23">
        <f t="shared" si="436"/>
        <v>35267</v>
      </c>
      <c r="AM529" s="24"/>
      <c r="AN529" s="24"/>
      <c r="AO529" s="24">
        <v>178263</v>
      </c>
      <c r="AP529" s="24">
        <v>30474506</v>
      </c>
      <c r="AQ529" s="24">
        <v>20336656</v>
      </c>
      <c r="AR529" s="461">
        <f t="shared" si="437"/>
        <v>1.1586032094954804E-3</v>
      </c>
      <c r="AS529" s="25"/>
      <c r="AT529" s="25"/>
      <c r="AU529" s="24"/>
      <c r="AV529" s="298">
        <f t="shared" si="438"/>
        <v>0.81553144944967793</v>
      </c>
      <c r="AW529" s="298"/>
      <c r="AX529" s="24">
        <f t="shared" si="439"/>
        <v>58604.81923076923</v>
      </c>
      <c r="AY529" s="308"/>
      <c r="AZ529" s="111"/>
      <c r="BA529" s="65">
        <f t="shared" si="440"/>
        <v>1071283</v>
      </c>
      <c r="BB529" s="66"/>
      <c r="BC529" s="66">
        <v>566087753</v>
      </c>
      <c r="BD529" s="66"/>
      <c r="BE529" s="66">
        <f t="shared" si="441"/>
        <v>145083</v>
      </c>
      <c r="BF529" s="66"/>
      <c r="BG529" s="144">
        <f t="shared" si="442"/>
        <v>0.13542920031401601</v>
      </c>
      <c r="BH529" s="66"/>
      <c r="BI529" s="170"/>
      <c r="BJ529" s="66"/>
      <c r="BK529" s="66">
        <f t="shared" si="443"/>
        <v>11344752</v>
      </c>
      <c r="BL529" s="66"/>
      <c r="BM529" s="144">
        <f t="shared" si="444"/>
        <v>7.8283685707717543E-2</v>
      </c>
      <c r="BN529" s="65">
        <f t="shared" si="445"/>
        <v>1088630.2942307692</v>
      </c>
      <c r="BO529" s="66"/>
      <c r="BP529" s="66">
        <f t="shared" si="446"/>
        <v>36460687</v>
      </c>
      <c r="BQ529" s="66"/>
      <c r="BR529" s="435">
        <f t="shared" si="447"/>
        <v>6.4408189025067994E-2</v>
      </c>
      <c r="BS529" s="66"/>
      <c r="BT529" s="75"/>
      <c r="BU529" s="170"/>
      <c r="BV529" s="1"/>
      <c r="BW529" s="61">
        <f t="shared" si="399"/>
        <v>520</v>
      </c>
    </row>
    <row r="530" spans="2:75" x14ac:dyDescent="0.3">
      <c r="B530" s="347">
        <f t="shared" si="448"/>
        <v>44430</v>
      </c>
      <c r="C530" s="61"/>
      <c r="D530" s="17">
        <v>99183</v>
      </c>
      <c r="E530" s="16"/>
      <c r="F530" s="16"/>
      <c r="G530" s="16"/>
      <c r="H530" s="16">
        <f t="shared" si="424"/>
        <v>37466848</v>
      </c>
      <c r="I530" s="16"/>
      <c r="J530" s="436">
        <f t="shared" si="425"/>
        <v>2.6542466595116392E-3</v>
      </c>
      <c r="K530" s="16"/>
      <c r="L530" s="16"/>
      <c r="M530" s="16"/>
      <c r="N530" s="16">
        <f t="shared" si="426"/>
        <v>956409</v>
      </c>
      <c r="O530" s="16">
        <f t="shared" si="427"/>
        <v>71913.335892514398</v>
      </c>
      <c r="P530" s="41"/>
      <c r="Q530" s="17">
        <f t="shared" si="428"/>
        <v>956409</v>
      </c>
      <c r="R530" s="16"/>
      <c r="S530" s="60">
        <f t="shared" si="429"/>
        <v>0.27671682356270588</v>
      </c>
      <c r="T530" s="16"/>
      <c r="U530" s="41"/>
      <c r="V530" s="10">
        <f t="shared" si="349"/>
        <v>422</v>
      </c>
      <c r="W530" s="34">
        <v>387</v>
      </c>
      <c r="X530" s="33">
        <v>4256</v>
      </c>
      <c r="Y530" s="33"/>
      <c r="Z530" s="33">
        <f t="shared" si="430"/>
        <v>5268</v>
      </c>
      <c r="AA530" s="33">
        <f t="shared" si="431"/>
        <v>625057</v>
      </c>
      <c r="AB530" s="33"/>
      <c r="AC530" s="46">
        <f t="shared" si="432"/>
        <v>1.6682935271202959E-2</v>
      </c>
      <c r="AD530" s="33"/>
      <c r="AE530" s="33">
        <f t="shared" si="433"/>
        <v>1199.725527831094</v>
      </c>
      <c r="AF530" s="50"/>
      <c r="AG530" s="33">
        <f t="shared" si="434"/>
        <v>5576</v>
      </c>
      <c r="AH530" s="33">
        <f>SUM(D501:D1273)</f>
        <v>826635323.06091404</v>
      </c>
      <c r="AI530" s="213">
        <f t="shared" si="435"/>
        <v>0.63711098062243099</v>
      </c>
      <c r="AJ530" s="50"/>
      <c r="AK530" s="111"/>
      <c r="AL530" s="23">
        <f t="shared" si="436"/>
        <v>19044</v>
      </c>
      <c r="AM530" s="24"/>
      <c r="AN530" s="24"/>
      <c r="AO530" s="24">
        <v>178263</v>
      </c>
      <c r="AP530" s="24">
        <v>30493550</v>
      </c>
      <c r="AQ530" s="24">
        <v>20336656</v>
      </c>
      <c r="AR530" s="461">
        <f t="shared" si="437"/>
        <v>6.2491579026744521E-4</v>
      </c>
      <c r="AS530" s="25"/>
      <c r="AT530" s="25"/>
      <c r="AU530" s="24"/>
      <c r="AV530" s="298">
        <f t="shared" si="438"/>
        <v>0.81388084740942179</v>
      </c>
      <c r="AW530" s="298"/>
      <c r="AX530" s="24">
        <f t="shared" si="439"/>
        <v>58528.886756238004</v>
      </c>
      <c r="AY530" s="308"/>
      <c r="AZ530" s="111"/>
      <c r="BA530" s="65">
        <f t="shared" si="440"/>
        <v>1182942</v>
      </c>
      <c r="BB530" s="66"/>
      <c r="BC530" s="66">
        <v>567270695</v>
      </c>
      <c r="BD530" s="66"/>
      <c r="BE530" s="66">
        <f t="shared" si="441"/>
        <v>99183</v>
      </c>
      <c r="BF530" s="66"/>
      <c r="BG530" s="144">
        <f t="shared" si="442"/>
        <v>8.384434739826635E-2</v>
      </c>
      <c r="BH530" s="66"/>
      <c r="BI530" s="170"/>
      <c r="BJ530" s="66"/>
      <c r="BK530" s="66">
        <f t="shared" si="443"/>
        <v>11837220</v>
      </c>
      <c r="BL530" s="66"/>
      <c r="BM530" s="144">
        <f t="shared" si="444"/>
        <v>8.0796758022576243E-2</v>
      </c>
      <c r="BN530" s="65">
        <f t="shared" si="445"/>
        <v>1088811.3147792707</v>
      </c>
      <c r="BO530" s="66"/>
      <c r="BP530" s="66">
        <f t="shared" si="446"/>
        <v>36559870</v>
      </c>
      <c r="BQ530" s="66"/>
      <c r="BR530" s="435">
        <f t="shared" si="447"/>
        <v>6.4448719671655164E-2</v>
      </c>
      <c r="BS530" s="66"/>
      <c r="BT530" s="75"/>
      <c r="BU530" s="170"/>
      <c r="BV530" s="1"/>
      <c r="BW530" s="61">
        <f t="shared" si="399"/>
        <v>521</v>
      </c>
    </row>
    <row r="531" spans="2:75" x14ac:dyDescent="0.3">
      <c r="B531" s="158">
        <f t="shared" si="448"/>
        <v>44431</v>
      </c>
      <c r="C531" s="61"/>
      <c r="D531" s="17">
        <v>111134</v>
      </c>
      <c r="E531" s="16"/>
      <c r="F531" s="16"/>
      <c r="G531" s="16"/>
      <c r="H531" s="16">
        <f t="shared" si="424"/>
        <v>37577982</v>
      </c>
      <c r="I531" s="16"/>
      <c r="J531" s="436">
        <f t="shared" si="425"/>
        <v>2.9661956084483009E-3</v>
      </c>
      <c r="K531" s="16"/>
      <c r="L531" s="16"/>
      <c r="M531" s="16"/>
      <c r="N531" s="16">
        <f t="shared" si="426"/>
        <v>963846</v>
      </c>
      <c r="O531" s="16">
        <f t="shared" si="427"/>
        <v>71988.471264367821</v>
      </c>
      <c r="P531" s="41"/>
      <c r="Q531" s="17">
        <f t="shared" si="428"/>
        <v>963846</v>
      </c>
      <c r="R531" s="16"/>
      <c r="S531" s="60">
        <f t="shared" si="429"/>
        <v>0.28437792329279699</v>
      </c>
      <c r="T531" s="16"/>
      <c r="U531" s="41"/>
      <c r="V531" s="10">
        <f t="shared" si="349"/>
        <v>423</v>
      </c>
      <c r="W531" s="34">
        <v>406</v>
      </c>
      <c r="X531" s="33">
        <v>4256</v>
      </c>
      <c r="Y531" s="33"/>
      <c r="Z531" s="33">
        <f t="shared" si="430"/>
        <v>4729</v>
      </c>
      <c r="AA531" s="33">
        <f t="shared" si="431"/>
        <v>625463</v>
      </c>
      <c r="AB531" s="33"/>
      <c r="AC531" s="46">
        <f t="shared" si="432"/>
        <v>1.6644400968631047E-2</v>
      </c>
      <c r="AD531" s="33"/>
      <c r="AE531" s="33">
        <f t="shared" si="433"/>
        <v>1198.2049808429119</v>
      </c>
      <c r="AF531" s="50"/>
      <c r="AG531" s="33">
        <f t="shared" si="434"/>
        <v>5674</v>
      </c>
      <c r="AH531" s="33">
        <f>SUM(D502:D1274)</f>
        <v>826598544.06091404</v>
      </c>
      <c r="AI531" s="213">
        <f t="shared" si="435"/>
        <v>0.67473435655253833</v>
      </c>
      <c r="AJ531" s="50"/>
      <c r="AK531" s="111"/>
      <c r="AL531" s="23">
        <f t="shared" si="436"/>
        <v>76679</v>
      </c>
      <c r="AM531" s="24"/>
      <c r="AN531" s="24"/>
      <c r="AO531" s="24">
        <v>178263</v>
      </c>
      <c r="AP531" s="24">
        <v>30570229</v>
      </c>
      <c r="AQ531" s="24">
        <v>20336656</v>
      </c>
      <c r="AR531" s="461">
        <f t="shared" si="437"/>
        <v>2.5145973492755025E-3</v>
      </c>
      <c r="AS531" s="25"/>
      <c r="AT531" s="25"/>
      <c r="AU531" s="24"/>
      <c r="AV531" s="298">
        <f t="shared" si="438"/>
        <v>0.81351438722813796</v>
      </c>
      <c r="AW531" s="298"/>
      <c r="AX531" s="24">
        <f t="shared" si="439"/>
        <v>58563.657088122607</v>
      </c>
      <c r="AY531" s="308"/>
      <c r="AZ531" s="111"/>
      <c r="BA531" s="65">
        <f t="shared" si="440"/>
        <v>1795660</v>
      </c>
      <c r="BB531" s="66"/>
      <c r="BC531" s="66">
        <v>569066355</v>
      </c>
      <c r="BD531" s="66"/>
      <c r="BE531" s="66">
        <f t="shared" si="441"/>
        <v>111134</v>
      </c>
      <c r="BF531" s="66"/>
      <c r="BG531" s="144">
        <f t="shared" si="442"/>
        <v>6.1890335586915118E-2</v>
      </c>
      <c r="BH531" s="66"/>
      <c r="BI531" s="170"/>
      <c r="BJ531" s="66"/>
      <c r="BK531" s="66">
        <f t="shared" si="443"/>
        <v>10921527</v>
      </c>
      <c r="BL531" s="66"/>
      <c r="BM531" s="144">
        <f t="shared" si="444"/>
        <v>8.825194498901115E-2</v>
      </c>
      <c r="BN531" s="65">
        <f t="shared" si="445"/>
        <v>1090165.4310344828</v>
      </c>
      <c r="BO531" s="66"/>
      <c r="BP531" s="66">
        <f t="shared" si="446"/>
        <v>36671004</v>
      </c>
      <c r="BQ531" s="66"/>
      <c r="BR531" s="435">
        <f t="shared" si="447"/>
        <v>6.4440646820527636E-2</v>
      </c>
      <c r="BS531" s="66"/>
      <c r="BT531" s="75"/>
      <c r="BU531" s="170"/>
      <c r="BV531" s="1"/>
      <c r="BW531" s="61">
        <f t="shared" si="399"/>
        <v>522</v>
      </c>
    </row>
    <row r="532" spans="2:75" x14ac:dyDescent="0.3">
      <c r="B532" s="158">
        <f t="shared" si="448"/>
        <v>44432</v>
      </c>
      <c r="C532" s="61"/>
      <c r="D532" s="17">
        <v>147619</v>
      </c>
      <c r="E532" s="16"/>
      <c r="F532" s="16"/>
      <c r="G532" s="16"/>
      <c r="H532" s="16">
        <f t="shared" si="424"/>
        <v>37725601</v>
      </c>
      <c r="I532" s="16"/>
      <c r="J532" s="436">
        <f t="shared" si="425"/>
        <v>3.9283376100398368E-3</v>
      </c>
      <c r="K532" s="16"/>
      <c r="L532" s="16"/>
      <c r="M532" s="16"/>
      <c r="N532" s="16">
        <f t="shared" si="426"/>
        <v>967171</v>
      </c>
      <c r="O532" s="16">
        <f t="shared" si="427"/>
        <v>72133.080305927346</v>
      </c>
      <c r="P532" s="41"/>
      <c r="Q532" s="17">
        <f t="shared" si="428"/>
        <v>967171</v>
      </c>
      <c r="R532" s="16"/>
      <c r="S532" s="60">
        <f t="shared" si="429"/>
        <v>0.21890083909068683</v>
      </c>
      <c r="T532" s="16"/>
      <c r="U532" s="41"/>
      <c r="V532" s="10">
        <f t="shared" si="349"/>
        <v>424</v>
      </c>
      <c r="W532" s="34">
        <v>1134</v>
      </c>
      <c r="X532" s="33">
        <v>4256</v>
      </c>
      <c r="Y532" s="33"/>
      <c r="Z532" s="33">
        <f t="shared" si="430"/>
        <v>4736</v>
      </c>
      <c r="AA532" s="33">
        <f t="shared" si="431"/>
        <v>626597</v>
      </c>
      <c r="AB532" s="33"/>
      <c r="AC532" s="46">
        <f t="shared" si="432"/>
        <v>1.6609331154194204E-2</v>
      </c>
      <c r="AD532" s="33"/>
      <c r="AE532" s="33">
        <f t="shared" si="433"/>
        <v>1198.0822179732313</v>
      </c>
      <c r="AF532" s="50"/>
      <c r="AG532" s="33">
        <f t="shared" si="434"/>
        <v>5863</v>
      </c>
      <c r="AH532" s="33">
        <f>SUM(D503:D1275)</f>
        <v>826584726.06091404</v>
      </c>
      <c r="AI532" s="213">
        <f t="shared" si="435"/>
        <v>0.59494015233949948</v>
      </c>
      <c r="AJ532" s="50"/>
      <c r="AK532" s="111"/>
      <c r="AL532" s="23">
        <f t="shared" si="436"/>
        <v>48415</v>
      </c>
      <c r="AM532" s="24"/>
      <c r="AN532" s="24"/>
      <c r="AO532" s="24">
        <v>178263</v>
      </c>
      <c r="AP532" s="24">
        <v>30618644</v>
      </c>
      <c r="AQ532" s="24">
        <v>20336656</v>
      </c>
      <c r="AR532" s="461">
        <f t="shared" si="437"/>
        <v>1.5837303672144557E-3</v>
      </c>
      <c r="AS532" s="25"/>
      <c r="AT532" s="25"/>
      <c r="AU532" s="24"/>
      <c r="AV532" s="298">
        <f t="shared" si="438"/>
        <v>0.81161447898470851</v>
      </c>
      <c r="AW532" s="298"/>
      <c r="AX532" s="24">
        <f t="shared" si="439"/>
        <v>58544.252390057358</v>
      </c>
      <c r="AY532" s="308"/>
      <c r="AZ532" s="111"/>
      <c r="BA532" s="65">
        <f t="shared" si="440"/>
        <v>1447069</v>
      </c>
      <c r="BB532" s="66"/>
      <c r="BC532" s="66">
        <v>570513424</v>
      </c>
      <c r="BD532" s="66"/>
      <c r="BE532" s="66">
        <f t="shared" si="441"/>
        <v>147619</v>
      </c>
      <c r="BF532" s="66"/>
      <c r="BG532" s="144">
        <f t="shared" si="442"/>
        <v>0.10201241267693524</v>
      </c>
      <c r="BH532" s="66"/>
      <c r="BI532" s="170"/>
      <c r="BJ532" s="66"/>
      <c r="BK532" s="66">
        <f t="shared" si="443"/>
        <v>10067305</v>
      </c>
      <c r="BL532" s="66"/>
      <c r="BM532" s="144">
        <f t="shared" si="444"/>
        <v>9.6070497516465431E-2</v>
      </c>
      <c r="BN532" s="65">
        <f t="shared" si="445"/>
        <v>1090847.8470363289</v>
      </c>
      <c r="BO532" s="66"/>
      <c r="BP532" s="66">
        <f t="shared" si="446"/>
        <v>36818623</v>
      </c>
      <c r="BQ532" s="66"/>
      <c r="BR532" s="435">
        <f t="shared" si="447"/>
        <v>6.4535945082336926E-2</v>
      </c>
      <c r="BS532" s="66"/>
      <c r="BT532" s="75"/>
      <c r="BU532" s="170"/>
      <c r="BV532" s="1"/>
      <c r="BW532" s="61">
        <f t="shared" si="399"/>
        <v>523</v>
      </c>
    </row>
    <row r="533" spans="2:75" x14ac:dyDescent="0.3">
      <c r="B533" s="158">
        <f t="shared" si="448"/>
        <v>44433</v>
      </c>
      <c r="C533" s="61"/>
      <c r="D533" s="17">
        <v>171737</v>
      </c>
      <c r="E533" s="16"/>
      <c r="F533" s="16"/>
      <c r="G533" s="16"/>
      <c r="H533" s="16">
        <f t="shared" si="424"/>
        <v>37897338</v>
      </c>
      <c r="I533" s="16"/>
      <c r="J533" s="436">
        <f t="shared" si="425"/>
        <v>4.5522667750210258E-3</v>
      </c>
      <c r="K533" s="16"/>
      <c r="L533" s="16"/>
      <c r="M533" s="16"/>
      <c r="N533" s="16">
        <f t="shared" si="426"/>
        <v>980781</v>
      </c>
      <c r="O533" s="16">
        <f t="shared" si="427"/>
        <v>72323.164122137401</v>
      </c>
      <c r="P533" s="41"/>
      <c r="Q533" s="17">
        <f t="shared" si="428"/>
        <v>980781</v>
      </c>
      <c r="R533" s="16"/>
      <c r="S533" s="60">
        <f t="shared" si="429"/>
        <v>0.21538718911483698</v>
      </c>
      <c r="T533" s="16"/>
      <c r="U533" s="41"/>
      <c r="V533" s="10">
        <f t="shared" si="349"/>
        <v>425</v>
      </c>
      <c r="W533" s="34">
        <v>1287</v>
      </c>
      <c r="X533" s="33">
        <v>4256</v>
      </c>
      <c r="Y533" s="33"/>
      <c r="Z533" s="33">
        <f t="shared" si="430"/>
        <v>5056</v>
      </c>
      <c r="AA533" s="33">
        <f t="shared" si="431"/>
        <v>627884</v>
      </c>
      <c r="AB533" s="33"/>
      <c r="AC533" s="46">
        <f t="shared" si="432"/>
        <v>1.6568023854340377E-2</v>
      </c>
      <c r="AD533" s="33"/>
      <c r="AE533" s="33">
        <f t="shared" si="433"/>
        <v>1198.2519083969466</v>
      </c>
      <c r="AF533" s="50"/>
      <c r="AG533" s="33">
        <f t="shared" si="434"/>
        <v>6023</v>
      </c>
      <c r="AH533" s="33">
        <f>SUM(D504:D1276)</f>
        <v>826548910.06091404</v>
      </c>
      <c r="AI533" s="213">
        <f t="shared" si="435"/>
        <v>0.43781332060157557</v>
      </c>
      <c r="AJ533" s="50"/>
      <c r="AK533" s="111"/>
      <c r="AL533" s="23">
        <f t="shared" si="436"/>
        <v>59639</v>
      </c>
      <c r="AM533" s="24"/>
      <c r="AN533" s="24"/>
      <c r="AO533" s="24">
        <v>178263</v>
      </c>
      <c r="AP533" s="24">
        <v>30678283</v>
      </c>
      <c r="AQ533" s="24">
        <v>20336656</v>
      </c>
      <c r="AR533" s="461">
        <f t="shared" si="437"/>
        <v>1.9478001703798508E-3</v>
      </c>
      <c r="AS533" s="25"/>
      <c r="AT533" s="25"/>
      <c r="AU533" s="24"/>
      <c r="AV533" s="298">
        <f t="shared" si="438"/>
        <v>0.80951023525715715</v>
      </c>
      <c r="AW533" s="298"/>
      <c r="AX533" s="24">
        <f t="shared" si="439"/>
        <v>58546.341603053435</v>
      </c>
      <c r="AY533" s="308"/>
      <c r="AZ533" s="111"/>
      <c r="BA533" s="65">
        <f t="shared" si="440"/>
        <v>3138100</v>
      </c>
      <c r="BB533" s="66"/>
      <c r="BC533" s="66">
        <v>573651524</v>
      </c>
      <c r="BD533" s="66"/>
      <c r="BE533" s="66">
        <f t="shared" si="441"/>
        <v>171737</v>
      </c>
      <c r="BF533" s="66"/>
      <c r="BG533" s="144">
        <f t="shared" si="442"/>
        <v>5.4726426818775695E-2</v>
      </c>
      <c r="BH533" s="66"/>
      <c r="BI533" s="170"/>
      <c r="BJ533" s="66"/>
      <c r="BK533" s="66">
        <f t="shared" si="443"/>
        <v>11823544</v>
      </c>
      <c r="BL533" s="66"/>
      <c r="BM533" s="144">
        <f t="shared" si="444"/>
        <v>8.2951524517521982E-2</v>
      </c>
      <c r="BN533" s="65">
        <f t="shared" si="445"/>
        <v>1094754.8167938932</v>
      </c>
      <c r="BO533" s="66"/>
      <c r="BP533" s="66">
        <f t="shared" si="446"/>
        <v>36990360</v>
      </c>
      <c r="BQ533" s="66"/>
      <c r="BR533" s="435">
        <f t="shared" si="447"/>
        <v>6.448228315000519E-2</v>
      </c>
      <c r="BS533" s="66"/>
      <c r="BT533" s="75"/>
      <c r="BU533" s="170"/>
      <c r="BV533" s="1"/>
      <c r="BW533" s="61">
        <f t="shared" si="399"/>
        <v>524</v>
      </c>
    </row>
    <row r="534" spans="2:75" x14ac:dyDescent="0.3">
      <c r="B534" s="158">
        <f t="shared" si="448"/>
        <v>44434</v>
      </c>
      <c r="C534" s="61"/>
      <c r="D534" s="17">
        <v>177206</v>
      </c>
      <c r="E534" s="16"/>
      <c r="F534" s="16"/>
      <c r="G534" s="16"/>
      <c r="H534" s="16">
        <f t="shared" si="424"/>
        <v>38074544</v>
      </c>
      <c r="I534" s="16"/>
      <c r="J534" s="436">
        <f t="shared" si="425"/>
        <v>4.6759484795475606E-3</v>
      </c>
      <c r="K534" s="16"/>
      <c r="L534" s="16"/>
      <c r="M534" s="16"/>
      <c r="N534" s="16">
        <f t="shared" si="426"/>
        <v>1003070</v>
      </c>
      <c r="O534" s="16">
        <f t="shared" si="427"/>
        <v>72522.940952380959</v>
      </c>
      <c r="P534" s="41"/>
      <c r="Q534" s="17">
        <f t="shared" si="428"/>
        <v>1003070</v>
      </c>
      <c r="R534" s="16"/>
      <c r="S534" s="60">
        <f t="shared" si="429"/>
        <v>0.22572249037697806</v>
      </c>
      <c r="T534" s="16"/>
      <c r="U534" s="41"/>
      <c r="V534" s="10">
        <f t="shared" si="349"/>
        <v>426</v>
      </c>
      <c r="W534" s="34">
        <v>1338</v>
      </c>
      <c r="X534" s="33">
        <v>4256</v>
      </c>
      <c r="Y534" s="33"/>
      <c r="Z534" s="33">
        <f t="shared" si="430"/>
        <v>5335</v>
      </c>
      <c r="AA534" s="33">
        <f t="shared" si="431"/>
        <v>629222</v>
      </c>
      <c r="AB534" s="33"/>
      <c r="AC534" s="46">
        <f t="shared" si="432"/>
        <v>1.6526054783479481E-2</v>
      </c>
      <c r="AD534" s="33"/>
      <c r="AE534" s="33">
        <f t="shared" si="433"/>
        <v>1198.5180952380952</v>
      </c>
      <c r="AF534" s="50"/>
      <c r="AG534" s="33">
        <f t="shared" si="434"/>
        <v>6394</v>
      </c>
      <c r="AH534" s="33">
        <f>SUM(D505:D1277)</f>
        <v>826487329.06091404</v>
      </c>
      <c r="AI534" s="213">
        <f t="shared" si="435"/>
        <v>0.42215302491103202</v>
      </c>
      <c r="AJ534" s="50"/>
      <c r="AK534" s="111" t="s">
        <v>26</v>
      </c>
      <c r="AL534" s="23">
        <f t="shared" si="436"/>
        <v>21717</v>
      </c>
      <c r="AM534" s="24"/>
      <c r="AN534" s="24"/>
      <c r="AO534" s="24">
        <v>178263</v>
      </c>
      <c r="AP534" s="24">
        <v>30700000</v>
      </c>
      <c r="AQ534" s="24">
        <v>20336656</v>
      </c>
      <c r="AR534" s="461">
        <f t="shared" si="437"/>
        <v>7.0789489750779078E-4</v>
      </c>
      <c r="AS534" s="25"/>
      <c r="AT534" s="25"/>
      <c r="AU534" s="24"/>
      <c r="AV534" s="298">
        <f t="shared" si="438"/>
        <v>0.80631300535076667</v>
      </c>
      <c r="AW534" s="298"/>
      <c r="AX534" s="24">
        <f t="shared" si="439"/>
        <v>58476.190476190473</v>
      </c>
      <c r="AY534" s="308"/>
      <c r="AZ534" s="111" t="s">
        <v>26</v>
      </c>
      <c r="BA534" s="65">
        <f t="shared" si="440"/>
        <v>2348476</v>
      </c>
      <c r="BB534" s="66"/>
      <c r="BC534" s="66">
        <v>576000000</v>
      </c>
      <c r="BD534" s="66"/>
      <c r="BE534" s="66">
        <f t="shared" si="441"/>
        <v>177206</v>
      </c>
      <c r="BF534" s="66"/>
      <c r="BG534" s="144">
        <f t="shared" si="442"/>
        <v>7.5455742362280906E-2</v>
      </c>
      <c r="BH534" s="66"/>
      <c r="BI534" s="170"/>
      <c r="BJ534" s="66"/>
      <c r="BK534" s="66">
        <f t="shared" si="443"/>
        <v>12632535</v>
      </c>
      <c r="BL534" s="66"/>
      <c r="BM534" s="144">
        <f t="shared" si="444"/>
        <v>7.9403698465905698E-2</v>
      </c>
      <c r="BN534" s="65">
        <f t="shared" si="445"/>
        <v>1097142.857142857</v>
      </c>
      <c r="BO534" s="66"/>
      <c r="BP534" s="66">
        <f t="shared" si="446"/>
        <v>37167566</v>
      </c>
      <c r="BQ534" s="66"/>
      <c r="BR534" s="435">
        <f t="shared" si="447"/>
        <v>6.4527024305555555E-2</v>
      </c>
      <c r="BS534" s="66"/>
      <c r="BT534" s="75"/>
      <c r="BU534" s="170"/>
      <c r="BV534" s="1"/>
      <c r="BW534" s="61">
        <f t="shared" si="399"/>
        <v>525</v>
      </c>
    </row>
    <row r="535" spans="2:75" x14ac:dyDescent="0.3">
      <c r="B535" s="158">
        <f t="shared" si="448"/>
        <v>44435</v>
      </c>
      <c r="C535" s="61"/>
      <c r="D535" s="17">
        <v>190370</v>
      </c>
      <c r="E535" s="16"/>
      <c r="F535" s="16"/>
      <c r="G535" s="16"/>
      <c r="H535" s="16">
        <f t="shared" si="424"/>
        <v>38264914</v>
      </c>
      <c r="I535" s="16"/>
      <c r="J535" s="436">
        <f t="shared" si="425"/>
        <v>4.9999285611930112E-3</v>
      </c>
      <c r="K535" s="16"/>
      <c r="L535" s="16"/>
      <c r="M535" s="16"/>
      <c r="N535" s="16">
        <f t="shared" si="426"/>
        <v>1042332</v>
      </c>
      <c r="O535" s="16">
        <f t="shared" si="427"/>
        <v>72746.984790874529</v>
      </c>
      <c r="P535" s="41"/>
      <c r="Q535" s="17">
        <f t="shared" si="428"/>
        <v>1042332</v>
      </c>
      <c r="R535" s="16"/>
      <c r="S535" s="60">
        <f t="shared" si="429"/>
        <v>0.28025292294767251</v>
      </c>
      <c r="T535" s="16"/>
      <c r="U535" s="41"/>
      <c r="V535" s="10">
        <f t="shared" si="349"/>
        <v>427</v>
      </c>
      <c r="W535" s="34">
        <v>1304</v>
      </c>
      <c r="X535" s="33">
        <v>4256</v>
      </c>
      <c r="Y535" s="33"/>
      <c r="Z535" s="33">
        <f t="shared" si="430"/>
        <v>5856</v>
      </c>
      <c r="AA535" s="33">
        <f t="shared" si="431"/>
        <v>630526</v>
      </c>
      <c r="AB535" s="33"/>
      <c r="AC535" s="46">
        <f t="shared" si="432"/>
        <v>1.6477914990217932E-2</v>
      </c>
      <c r="AD535" s="33"/>
      <c r="AE535" s="33">
        <f t="shared" si="433"/>
        <v>1198.7186311787073</v>
      </c>
      <c r="AF535" s="50"/>
      <c r="AG535" s="33">
        <f t="shared" si="434"/>
        <v>6639</v>
      </c>
      <c r="AH535" s="33">
        <f>SUM(D506:D1278)</f>
        <v>826402795.06091404</v>
      </c>
      <c r="AI535" s="213">
        <f t="shared" si="435"/>
        <v>0.38717091516924362</v>
      </c>
      <c r="AJ535" s="50"/>
      <c r="AK535" s="111"/>
      <c r="AL535" s="23">
        <f t="shared" si="436"/>
        <v>86368</v>
      </c>
      <c r="AM535" s="24"/>
      <c r="AN535" s="24"/>
      <c r="AO535" s="24">
        <v>178263</v>
      </c>
      <c r="AP535" s="24">
        <v>30786368</v>
      </c>
      <c r="AQ535" s="24">
        <v>20336656</v>
      </c>
      <c r="AR535" s="461">
        <f t="shared" si="437"/>
        <v>2.8132899022801305E-3</v>
      </c>
      <c r="AS535" s="25"/>
      <c r="AT535" s="25"/>
      <c r="AU535" s="24"/>
      <c r="AV535" s="298">
        <f t="shared" si="438"/>
        <v>0.80455866175473434</v>
      </c>
      <c r="AW535" s="298"/>
      <c r="AX535" s="24">
        <f t="shared" si="439"/>
        <v>58529.216730038024</v>
      </c>
      <c r="AY535" s="308"/>
      <c r="AZ535" s="111"/>
      <c r="BA535" s="65">
        <f t="shared" si="440"/>
        <v>1474238</v>
      </c>
      <c r="BB535" s="66"/>
      <c r="BC535" s="66">
        <v>577474238</v>
      </c>
      <c r="BD535" s="66"/>
      <c r="BE535" s="66">
        <f t="shared" si="441"/>
        <v>190370</v>
      </c>
      <c r="BF535" s="66"/>
      <c r="BG535" s="144">
        <f t="shared" si="442"/>
        <v>0.12913111722801882</v>
      </c>
      <c r="BH535" s="66"/>
      <c r="BI535" s="170"/>
      <c r="BJ535" s="66"/>
      <c r="BK535" s="66">
        <f t="shared" si="443"/>
        <v>12457768</v>
      </c>
      <c r="BL535" s="66"/>
      <c r="BM535" s="144">
        <f t="shared" si="444"/>
        <v>8.3669241552740428E-2</v>
      </c>
      <c r="BN535" s="65">
        <f t="shared" si="445"/>
        <v>1097859.7680608365</v>
      </c>
      <c r="BO535" s="66"/>
      <c r="BP535" s="66">
        <f t="shared" si="446"/>
        <v>37357936</v>
      </c>
      <c r="BQ535" s="66"/>
      <c r="BR535" s="435">
        <f t="shared" si="447"/>
        <v>6.4691952543863951E-2</v>
      </c>
      <c r="BS535" s="66"/>
      <c r="BT535" s="75"/>
      <c r="BU535" s="170"/>
      <c r="BV535" s="1"/>
      <c r="BW535" s="61">
        <f t="shared" si="399"/>
        <v>526</v>
      </c>
    </row>
    <row r="536" spans="2:75" x14ac:dyDescent="0.3">
      <c r="B536" s="158">
        <f t="shared" si="448"/>
        <v>44436</v>
      </c>
      <c r="C536" s="61"/>
      <c r="D536" s="17">
        <v>72785</v>
      </c>
      <c r="E536" s="16"/>
      <c r="F536" s="16"/>
      <c r="G536" s="16"/>
      <c r="H536" s="16">
        <f t="shared" ref="H536:H551" si="449">+H535+D536</f>
        <v>38337699</v>
      </c>
      <c r="I536" s="16"/>
      <c r="J536" s="436">
        <f t="shared" ref="J536:J551" si="450">+D536/H535</f>
        <v>1.9021341587230538E-3</v>
      </c>
      <c r="K536" s="16"/>
      <c r="L536" s="16"/>
      <c r="M536" s="16"/>
      <c r="N536" s="16">
        <f t="shared" ref="N536:N551" si="451">SUM(D530:D536)</f>
        <v>970034</v>
      </c>
      <c r="O536" s="16">
        <f t="shared" ref="O536:O551" si="452">+H536/BW536</f>
        <v>72747.056925996207</v>
      </c>
      <c r="P536" s="41"/>
      <c r="Q536" s="17">
        <f t="shared" ref="Q536:Q551" si="453">SUM(D530:D536)</f>
        <v>970034</v>
      </c>
      <c r="R536" s="16"/>
      <c r="S536" s="60">
        <f t="shared" ref="S536:S551" si="454">+(Q536-Q529)/Q529</f>
        <v>9.224655982542683E-2</v>
      </c>
      <c r="T536" s="16"/>
      <c r="U536" s="41"/>
      <c r="V536" s="10">
        <f t="shared" si="349"/>
        <v>428</v>
      </c>
      <c r="W536" s="34">
        <v>648</v>
      </c>
      <c r="X536" s="33">
        <v>4256</v>
      </c>
      <c r="Y536" s="33"/>
      <c r="Z536" s="33">
        <f t="shared" ref="Z536:Z551" si="455">SUM(W531:W536)</f>
        <v>6117</v>
      </c>
      <c r="AA536" s="33">
        <f t="shared" ref="AA536:AA551" si="456">+AA535+W536</f>
        <v>631174</v>
      </c>
      <c r="AB536" s="33"/>
      <c r="AC536" s="46">
        <f t="shared" ref="AC536:AC551" si="457">+AA536/H536</f>
        <v>1.6463533713903904E-2</v>
      </c>
      <c r="AD536" s="33"/>
      <c r="AE536" s="33">
        <f t="shared" ref="AE536:AE551" si="458">+AA536/BW536</f>
        <v>1197.6736242884251</v>
      </c>
      <c r="AF536" s="50"/>
      <c r="AG536" s="33">
        <f t="shared" ref="AG536:AG551" si="459">SUM(W530:W536)</f>
        <v>6504</v>
      </c>
      <c r="AH536" s="33">
        <f>SUM(D507:D1279)</f>
        <v>826318282.06091404</v>
      </c>
      <c r="AI536" s="213">
        <f t="shared" ref="AI536:AI551" si="460">+(AG536-AG529)/AG529</f>
        <v>0.22462813029561288</v>
      </c>
      <c r="AJ536" s="50"/>
      <c r="AK536" s="111"/>
      <c r="AL536" s="23">
        <f t="shared" ref="AL536:AL551" si="461">+AP536-AP535</f>
        <v>25874</v>
      </c>
      <c r="AM536" s="24"/>
      <c r="AN536" s="24"/>
      <c r="AO536" s="24">
        <v>178263</v>
      </c>
      <c r="AP536" s="24">
        <v>30812242</v>
      </c>
      <c r="AQ536" s="24">
        <v>20336656</v>
      </c>
      <c r="AR536" s="461">
        <f t="shared" ref="AR536:AR551" si="462">+AL536/AP535</f>
        <v>8.4043691025846242E-4</v>
      </c>
      <c r="AS536" s="25"/>
      <c r="AT536" s="25"/>
      <c r="AU536" s="24"/>
      <c r="AV536" s="298">
        <f t="shared" ref="AV536:AV551" si="463">+AP536/H536</f>
        <v>0.80370608575126012</v>
      </c>
      <c r="AW536" s="298"/>
      <c r="AX536" s="24">
        <f t="shared" ref="AX536:AX551" si="464">+AP536/BW536</f>
        <v>58467.252371916511</v>
      </c>
      <c r="AY536" s="308"/>
      <c r="AZ536" s="111"/>
      <c r="BA536" s="65">
        <f t="shared" ref="BA536:BA551" si="465">+BC536-BC535</f>
        <v>999373</v>
      </c>
      <c r="BB536" s="66"/>
      <c r="BC536" s="66">
        <v>578473611</v>
      </c>
      <c r="BD536" s="66"/>
      <c r="BE536" s="66">
        <f t="shared" ref="BE536:BE551" si="466">+D536</f>
        <v>72785</v>
      </c>
      <c r="BF536" s="66"/>
      <c r="BG536" s="144">
        <f t="shared" ref="BG536:BG551" si="467">+BE536/BA536</f>
        <v>7.2830664826846428E-2</v>
      </c>
      <c r="BH536" s="66"/>
      <c r="BI536" s="170"/>
      <c r="BJ536" s="66"/>
      <c r="BK536" s="66">
        <f t="shared" ref="BK536:BK551" si="468">SUM(BA530:BA536)</f>
        <v>12385858</v>
      </c>
      <c r="BL536" s="66"/>
      <c r="BM536" s="144">
        <f t="shared" ref="BM536:BM551" si="469">+Q536/BK536</f>
        <v>7.8317868653104208E-2</v>
      </c>
      <c r="BN536" s="65">
        <f t="shared" ref="BN536:BN551" si="470">+BC536/BW536</f>
        <v>1097672.8861480076</v>
      </c>
      <c r="BO536" s="66"/>
      <c r="BP536" s="66">
        <f t="shared" ref="BP536:BP551" si="471">+BP535+BE536</f>
        <v>37430721</v>
      </c>
      <c r="BQ536" s="66"/>
      <c r="BR536" s="435">
        <f t="shared" ref="BR536:BR551" si="472">+BP536/BC536</f>
        <v>6.47060130111968E-2</v>
      </c>
      <c r="BS536" s="66"/>
      <c r="BT536" s="75"/>
      <c r="BU536" s="170"/>
      <c r="BV536" s="1"/>
      <c r="BW536" s="61">
        <f t="shared" si="399"/>
        <v>527</v>
      </c>
    </row>
    <row r="537" spans="2:75" x14ac:dyDescent="0.3">
      <c r="B537" s="347">
        <f t="shared" si="448"/>
        <v>44437</v>
      </c>
      <c r="C537" s="61"/>
      <c r="D537" s="17">
        <v>37262</v>
      </c>
      <c r="E537" s="16"/>
      <c r="F537" s="16"/>
      <c r="G537" s="16"/>
      <c r="H537" s="16">
        <f t="shared" si="449"/>
        <v>38374961</v>
      </c>
      <c r="I537" s="16"/>
      <c r="J537" s="436">
        <f t="shared" si="450"/>
        <v>9.7194148245568937E-4</v>
      </c>
      <c r="K537" s="16"/>
      <c r="L537" s="16"/>
      <c r="M537" s="16"/>
      <c r="N537" s="16">
        <f t="shared" si="451"/>
        <v>908113</v>
      </c>
      <c r="O537" s="16">
        <f t="shared" si="452"/>
        <v>72679.850378787873</v>
      </c>
      <c r="P537" s="41"/>
      <c r="Q537" s="17">
        <f t="shared" si="453"/>
        <v>908113</v>
      </c>
      <c r="R537" s="16"/>
      <c r="S537" s="60">
        <f t="shared" si="454"/>
        <v>-5.0497224513780192E-2</v>
      </c>
      <c r="T537" s="16"/>
      <c r="U537" s="41"/>
      <c r="V537" s="10">
        <f t="shared" si="349"/>
        <v>429</v>
      </c>
      <c r="W537" s="34">
        <v>284</v>
      </c>
      <c r="X537" s="33">
        <v>4256</v>
      </c>
      <c r="Y537" s="33"/>
      <c r="Z537" s="33">
        <f t="shared" si="455"/>
        <v>5995</v>
      </c>
      <c r="AA537" s="33">
        <f t="shared" si="456"/>
        <v>631458</v>
      </c>
      <c r="AB537" s="33"/>
      <c r="AC537" s="46">
        <f t="shared" si="457"/>
        <v>1.6454948319035424E-2</v>
      </c>
      <c r="AD537" s="33"/>
      <c r="AE537" s="33">
        <f t="shared" si="458"/>
        <v>1195.9431818181818</v>
      </c>
      <c r="AF537" s="50"/>
      <c r="AG537" s="33">
        <f t="shared" si="459"/>
        <v>6401</v>
      </c>
      <c r="AH537" s="33">
        <f>SUM(D508:D1280)</f>
        <v>826217184.06091404</v>
      </c>
      <c r="AI537" s="213">
        <f t="shared" si="460"/>
        <v>0.14795552367288378</v>
      </c>
      <c r="AJ537" s="50"/>
      <c r="AK537" s="111"/>
      <c r="AL537" s="23">
        <f t="shared" si="461"/>
        <v>14236</v>
      </c>
      <c r="AM537" s="24"/>
      <c r="AN537" s="24"/>
      <c r="AO537" s="24">
        <v>178263</v>
      </c>
      <c r="AP537" s="24">
        <v>30826478</v>
      </c>
      <c r="AQ537" s="24">
        <v>20336656</v>
      </c>
      <c r="AR537" s="461">
        <f t="shared" si="462"/>
        <v>4.6202415260791476E-4</v>
      </c>
      <c r="AS537" s="25"/>
      <c r="AT537" s="25"/>
      <c r="AU537" s="24"/>
      <c r="AV537" s="298">
        <f t="shared" si="463"/>
        <v>0.80329666002787603</v>
      </c>
      <c r="AW537" s="298"/>
      <c r="AX537" s="24">
        <f t="shared" si="464"/>
        <v>58383.481060606064</v>
      </c>
      <c r="AY537" s="308"/>
      <c r="AZ537" s="111"/>
      <c r="BA537" s="65">
        <f t="shared" si="465"/>
        <v>891043</v>
      </c>
      <c r="BB537" s="66"/>
      <c r="BC537" s="66">
        <v>579364654</v>
      </c>
      <c r="BD537" s="66"/>
      <c r="BE537" s="66">
        <f t="shared" si="466"/>
        <v>37262</v>
      </c>
      <c r="BF537" s="66"/>
      <c r="BG537" s="144">
        <f t="shared" si="467"/>
        <v>4.1818408314750241E-2</v>
      </c>
      <c r="BH537" s="66"/>
      <c r="BI537" s="170"/>
      <c r="BJ537" s="66"/>
      <c r="BK537" s="66">
        <f t="shared" si="468"/>
        <v>12093959</v>
      </c>
      <c r="BL537" s="66"/>
      <c r="BM537" s="144">
        <f t="shared" si="469"/>
        <v>7.508814938102569E-2</v>
      </c>
      <c r="BN537" s="65">
        <f t="shared" si="470"/>
        <v>1097281.5416666667</v>
      </c>
      <c r="BO537" s="66"/>
      <c r="BP537" s="66">
        <f t="shared" si="471"/>
        <v>37467983</v>
      </c>
      <c r="BQ537" s="66"/>
      <c r="BR537" s="435">
        <f t="shared" si="472"/>
        <v>6.4670812658861307E-2</v>
      </c>
      <c r="BS537" s="66"/>
      <c r="BT537" s="75"/>
      <c r="BU537" s="170"/>
      <c r="BV537" s="1"/>
      <c r="BW537" s="61">
        <f t="shared" si="399"/>
        <v>528</v>
      </c>
    </row>
    <row r="538" spans="2:75" x14ac:dyDescent="0.3">
      <c r="B538" s="158">
        <f t="shared" si="448"/>
        <v>44438</v>
      </c>
      <c r="C538" s="61"/>
      <c r="D538" s="17">
        <v>119642</v>
      </c>
      <c r="E538" s="16"/>
      <c r="F538" s="16"/>
      <c r="G538" s="16"/>
      <c r="H538" s="16">
        <f t="shared" si="449"/>
        <v>38494603</v>
      </c>
      <c r="I538" s="16"/>
      <c r="J538" s="436">
        <f t="shared" si="450"/>
        <v>3.1177100088779245E-3</v>
      </c>
      <c r="K538" s="16"/>
      <c r="L538" s="16"/>
      <c r="M538" s="16"/>
      <c r="N538" s="16">
        <f t="shared" si="451"/>
        <v>916621</v>
      </c>
      <c r="O538" s="16">
        <f t="shared" si="452"/>
        <v>72768.625708884691</v>
      </c>
      <c r="P538" s="41"/>
      <c r="Q538" s="17">
        <f t="shared" si="453"/>
        <v>916621</v>
      </c>
      <c r="R538" s="16"/>
      <c r="S538" s="60">
        <f t="shared" si="454"/>
        <v>-4.89964164399707E-2</v>
      </c>
      <c r="T538" s="16"/>
      <c r="U538" s="41"/>
      <c r="V538" s="10">
        <f t="shared" si="349"/>
        <v>430</v>
      </c>
      <c r="W538" s="34">
        <v>569</v>
      </c>
      <c r="X538" s="33">
        <v>4256</v>
      </c>
      <c r="Y538" s="33"/>
      <c r="Z538" s="33">
        <f t="shared" si="455"/>
        <v>5430</v>
      </c>
      <c r="AA538" s="33">
        <f t="shared" si="456"/>
        <v>632027</v>
      </c>
      <c r="AB538" s="33"/>
      <c r="AC538" s="46">
        <f t="shared" si="457"/>
        <v>1.6418587301705645E-2</v>
      </c>
      <c r="AD538" s="33"/>
      <c r="AE538" s="33">
        <f t="shared" si="458"/>
        <v>1194.7580340264651</v>
      </c>
      <c r="AF538" s="50"/>
      <c r="AG538" s="33">
        <f t="shared" si="459"/>
        <v>6564</v>
      </c>
      <c r="AH538" s="33">
        <f>SUM(D509:D1281)</f>
        <v>826165286.06091404</v>
      </c>
      <c r="AI538" s="213">
        <f t="shared" si="460"/>
        <v>0.15685583362707084</v>
      </c>
      <c r="AJ538" s="50"/>
      <c r="AK538" s="111"/>
      <c r="AL538" s="23">
        <f t="shared" si="461"/>
        <v>117987</v>
      </c>
      <c r="AM538" s="24"/>
      <c r="AN538" s="24"/>
      <c r="AO538" s="24">
        <v>178263</v>
      </c>
      <c r="AP538" s="24">
        <v>30944465</v>
      </c>
      <c r="AQ538" s="24">
        <v>20336656</v>
      </c>
      <c r="AR538" s="461">
        <f t="shared" si="462"/>
        <v>3.8274563834376409E-3</v>
      </c>
      <c r="AS538" s="25"/>
      <c r="AT538" s="25"/>
      <c r="AU538" s="24"/>
      <c r="AV538" s="298">
        <f t="shared" si="463"/>
        <v>0.80386502492310419</v>
      </c>
      <c r="AW538" s="298"/>
      <c r="AX538" s="24">
        <f t="shared" si="464"/>
        <v>58496.153119092625</v>
      </c>
      <c r="AY538" s="308"/>
      <c r="AZ538" s="111"/>
      <c r="BA538" s="65">
        <f t="shared" si="465"/>
        <v>3159358</v>
      </c>
      <c r="BB538" s="66"/>
      <c r="BC538" s="66">
        <v>582524012</v>
      </c>
      <c r="BD538" s="66"/>
      <c r="BE538" s="66">
        <f t="shared" si="466"/>
        <v>119642</v>
      </c>
      <c r="BF538" s="66"/>
      <c r="BG538" s="144">
        <f t="shared" si="467"/>
        <v>3.7869086061155466E-2</v>
      </c>
      <c r="BH538" s="66"/>
      <c r="BI538" s="170"/>
      <c r="BJ538" s="66"/>
      <c r="BK538" s="66">
        <f t="shared" si="468"/>
        <v>13457657</v>
      </c>
      <c r="BL538" s="66"/>
      <c r="BM538" s="144">
        <f t="shared" si="469"/>
        <v>6.8111484785204443E-2</v>
      </c>
      <c r="BN538" s="65">
        <f t="shared" si="470"/>
        <v>1101179.6068052929</v>
      </c>
      <c r="BO538" s="66"/>
      <c r="BP538" s="66">
        <f t="shared" si="471"/>
        <v>37587625</v>
      </c>
      <c r="BQ538" s="66"/>
      <c r="BR538" s="435">
        <f t="shared" si="472"/>
        <v>6.4525451699319822E-2</v>
      </c>
      <c r="BS538" s="66"/>
      <c r="BT538" s="75"/>
      <c r="BU538" s="170"/>
      <c r="BV538" s="1"/>
      <c r="BW538" s="61">
        <f t="shared" si="399"/>
        <v>529</v>
      </c>
    </row>
    <row r="539" spans="2:75" x14ac:dyDescent="0.3">
      <c r="B539" s="158">
        <f t="shared" si="448"/>
        <v>44439</v>
      </c>
      <c r="C539" s="61"/>
      <c r="D539" s="17">
        <v>158666</v>
      </c>
      <c r="E539" s="16"/>
      <c r="F539" s="16"/>
      <c r="G539" s="16"/>
      <c r="H539" s="16">
        <f t="shared" si="449"/>
        <v>38653269</v>
      </c>
      <c r="I539" s="16"/>
      <c r="J539" s="436">
        <f t="shared" si="450"/>
        <v>4.1217726027723937E-3</v>
      </c>
      <c r="K539" s="16"/>
      <c r="L539" s="16"/>
      <c r="M539" s="16"/>
      <c r="N539" s="16">
        <f t="shared" si="451"/>
        <v>927668</v>
      </c>
      <c r="O539" s="16">
        <f t="shared" si="452"/>
        <v>72930.696226415093</v>
      </c>
      <c r="P539" s="41"/>
      <c r="Q539" s="17">
        <f t="shared" si="453"/>
        <v>927668</v>
      </c>
      <c r="R539" s="16"/>
      <c r="S539" s="60">
        <f t="shared" si="454"/>
        <v>-4.0843863184483409E-2</v>
      </c>
      <c r="T539" s="16"/>
      <c r="U539" s="41"/>
      <c r="V539" s="10">
        <f t="shared" si="349"/>
        <v>431</v>
      </c>
      <c r="W539" s="34">
        <v>1266</v>
      </c>
      <c r="X539" s="33">
        <v>4256</v>
      </c>
      <c r="Y539" s="33"/>
      <c r="Z539" s="33">
        <f t="shared" si="455"/>
        <v>5409</v>
      </c>
      <c r="AA539" s="33">
        <f t="shared" si="456"/>
        <v>633293</v>
      </c>
      <c r="AB539" s="33"/>
      <c r="AC539" s="46">
        <f t="shared" si="457"/>
        <v>1.6383944136781809E-2</v>
      </c>
      <c r="AD539" s="33"/>
      <c r="AE539" s="33">
        <f t="shared" si="458"/>
        <v>1194.8924528301886</v>
      </c>
      <c r="AF539" s="50"/>
      <c r="AG539" s="33">
        <f t="shared" si="459"/>
        <v>6696</v>
      </c>
      <c r="AH539" s="33">
        <f>SUM(D510:D1282)</f>
        <v>826143518.06091404</v>
      </c>
      <c r="AI539" s="213">
        <f t="shared" si="460"/>
        <v>0.14207743476036158</v>
      </c>
      <c r="AJ539" s="50"/>
      <c r="AK539" s="111"/>
      <c r="AL539" s="23">
        <f t="shared" si="461"/>
        <v>76147</v>
      </c>
      <c r="AM539" s="24"/>
      <c r="AN539" s="24"/>
      <c r="AO539" s="24">
        <v>178263</v>
      </c>
      <c r="AP539" s="24">
        <v>31020612</v>
      </c>
      <c r="AQ539" s="24">
        <v>20336656</v>
      </c>
      <c r="AR539" s="461">
        <f t="shared" si="462"/>
        <v>2.4607631768718574E-3</v>
      </c>
      <c r="AS539" s="25"/>
      <c r="AT539" s="25"/>
      <c r="AU539" s="24"/>
      <c r="AV539" s="298">
        <f t="shared" si="463"/>
        <v>0.8025352784521278</v>
      </c>
      <c r="AW539" s="298"/>
      <c r="AX539" s="24">
        <f t="shared" si="464"/>
        <v>58529.456603773586</v>
      </c>
      <c r="AY539" s="308"/>
      <c r="AZ539" s="111"/>
      <c r="BA539" s="65">
        <f t="shared" si="465"/>
        <v>1787032</v>
      </c>
      <c r="BB539" s="66"/>
      <c r="BC539" s="66">
        <v>584311044</v>
      </c>
      <c r="BD539" s="66"/>
      <c r="BE539" s="66">
        <f t="shared" si="466"/>
        <v>158666</v>
      </c>
      <c r="BF539" s="66"/>
      <c r="BG539" s="144">
        <f t="shared" si="467"/>
        <v>8.8787441970820891E-2</v>
      </c>
      <c r="BH539" s="66"/>
      <c r="BI539" s="170"/>
      <c r="BJ539" s="66"/>
      <c r="BK539" s="66">
        <f t="shared" si="468"/>
        <v>13797620</v>
      </c>
      <c r="BL539" s="66"/>
      <c r="BM539" s="144">
        <f t="shared" si="469"/>
        <v>6.7233914254777274E-2</v>
      </c>
      <c r="BN539" s="65">
        <f t="shared" si="470"/>
        <v>1102473.6679245282</v>
      </c>
      <c r="BO539" s="66"/>
      <c r="BP539" s="66">
        <f t="shared" si="471"/>
        <v>37746291</v>
      </c>
      <c r="BQ539" s="66"/>
      <c r="BR539" s="435">
        <f t="shared" si="472"/>
        <v>6.4599653536584534E-2</v>
      </c>
      <c r="BS539" s="66"/>
      <c r="BT539" s="75"/>
      <c r="BU539" s="170"/>
      <c r="BV539" s="1"/>
      <c r="BW539" s="61">
        <f t="shared" si="399"/>
        <v>530</v>
      </c>
    </row>
    <row r="540" spans="2:75" x14ac:dyDescent="0.3">
      <c r="B540" s="158">
        <f t="shared" si="448"/>
        <v>44440</v>
      </c>
      <c r="C540" s="61"/>
      <c r="D540" s="17">
        <v>184420</v>
      </c>
      <c r="E540" s="16"/>
      <c r="F540" s="16"/>
      <c r="G540" s="16"/>
      <c r="H540" s="16">
        <f t="shared" si="449"/>
        <v>38837689</v>
      </c>
      <c r="I540" s="16"/>
      <c r="J540" s="436">
        <f t="shared" si="450"/>
        <v>4.7711359160851315E-3</v>
      </c>
      <c r="K540" s="16"/>
      <c r="L540" s="16"/>
      <c r="M540" s="16"/>
      <c r="N540" s="16">
        <f t="shared" si="451"/>
        <v>940351</v>
      </c>
      <c r="O540" s="16">
        <f t="shared" si="452"/>
        <v>73140.657250470817</v>
      </c>
      <c r="P540" s="41"/>
      <c r="Q540" s="17">
        <f t="shared" si="453"/>
        <v>940351</v>
      </c>
      <c r="R540" s="16"/>
      <c r="S540" s="60">
        <f t="shared" si="454"/>
        <v>-4.1222250431034044E-2</v>
      </c>
      <c r="T540" s="16"/>
      <c r="U540" s="41"/>
      <c r="V540" s="10">
        <f t="shared" si="349"/>
        <v>432</v>
      </c>
      <c r="W540" s="34">
        <v>1480</v>
      </c>
      <c r="X540" s="33">
        <v>4256</v>
      </c>
      <c r="Y540" s="33"/>
      <c r="Z540" s="33">
        <f t="shared" si="455"/>
        <v>5551</v>
      </c>
      <c r="AA540" s="33">
        <f t="shared" si="456"/>
        <v>634773</v>
      </c>
      <c r="AB540" s="33"/>
      <c r="AC540" s="46">
        <f t="shared" si="457"/>
        <v>1.6344252615030724E-2</v>
      </c>
      <c r="AD540" s="33"/>
      <c r="AE540" s="33">
        <f t="shared" si="458"/>
        <v>1195.4293785310736</v>
      </c>
      <c r="AF540" s="50"/>
      <c r="AG540" s="33">
        <f t="shared" si="459"/>
        <v>6889</v>
      </c>
      <c r="AH540" s="33">
        <f>SUM(D511:D1283)</f>
        <v>826087149.06091404</v>
      </c>
      <c r="AI540" s="213">
        <f t="shared" si="460"/>
        <v>0.14378216835464055</v>
      </c>
      <c r="AJ540" s="50"/>
      <c r="AK540" s="111"/>
      <c r="AL540" s="23">
        <f t="shared" si="461"/>
        <v>117324</v>
      </c>
      <c r="AM540" s="24"/>
      <c r="AN540" s="24"/>
      <c r="AO540" s="24">
        <v>178263</v>
      </c>
      <c r="AP540" s="24">
        <v>31137936</v>
      </c>
      <c r="AQ540" s="24">
        <v>20336656</v>
      </c>
      <c r="AR540" s="461">
        <f t="shared" si="462"/>
        <v>3.7821304105799072E-3</v>
      </c>
      <c r="AS540" s="25"/>
      <c r="AT540" s="25"/>
      <c r="AU540" s="24"/>
      <c r="AV540" s="298">
        <f t="shared" si="463"/>
        <v>0.80174533556824146</v>
      </c>
      <c r="AW540" s="298"/>
      <c r="AX540" s="24">
        <f t="shared" si="464"/>
        <v>58640.180790960454</v>
      </c>
      <c r="AY540" s="308"/>
      <c r="AZ540" s="111"/>
      <c r="BA540" s="65">
        <f t="shared" si="465"/>
        <v>2369139</v>
      </c>
      <c r="BB540" s="66"/>
      <c r="BC540" s="66">
        <v>586680183</v>
      </c>
      <c r="BD540" s="66"/>
      <c r="BE540" s="66">
        <f t="shared" si="466"/>
        <v>184420</v>
      </c>
      <c r="BF540" s="66"/>
      <c r="BG540" s="144">
        <f t="shared" si="467"/>
        <v>7.78426255276706E-2</v>
      </c>
      <c r="BH540" s="66"/>
      <c r="BI540" s="170"/>
      <c r="BJ540" s="66"/>
      <c r="BK540" s="66">
        <f t="shared" si="468"/>
        <v>13028659</v>
      </c>
      <c r="BL540" s="66"/>
      <c r="BM540" s="144">
        <f t="shared" si="469"/>
        <v>7.217557846897367E-2</v>
      </c>
      <c r="BN540" s="65">
        <f t="shared" si="470"/>
        <v>1104859.1016949152</v>
      </c>
      <c r="BO540" s="66"/>
      <c r="BP540" s="66">
        <f t="shared" si="471"/>
        <v>37930711</v>
      </c>
      <c r="BQ540" s="66"/>
      <c r="BR540" s="435">
        <f t="shared" si="472"/>
        <v>6.465313146600693E-2</v>
      </c>
      <c r="BS540" s="66"/>
      <c r="BT540" s="75"/>
      <c r="BU540" s="170"/>
      <c r="BV540" s="1"/>
      <c r="BW540" s="61">
        <f t="shared" si="399"/>
        <v>531</v>
      </c>
    </row>
    <row r="541" spans="2:75" x14ac:dyDescent="0.3">
      <c r="B541" s="158">
        <f t="shared" si="448"/>
        <v>44441</v>
      </c>
      <c r="C541" s="61"/>
      <c r="D541" s="17">
        <v>177568</v>
      </c>
      <c r="E541" s="16"/>
      <c r="F541" s="16"/>
      <c r="G541" s="16"/>
      <c r="H541" s="16">
        <f t="shared" si="449"/>
        <v>39015257</v>
      </c>
      <c r="I541" s="16"/>
      <c r="J541" s="436">
        <f t="shared" si="450"/>
        <v>4.5720537079330338E-3</v>
      </c>
      <c r="K541" s="16"/>
      <c r="L541" s="16"/>
      <c r="M541" s="16"/>
      <c r="N541" s="16">
        <f t="shared" si="451"/>
        <v>940713</v>
      </c>
      <c r="O541" s="16">
        <f t="shared" si="452"/>
        <v>73336.949248120305</v>
      </c>
      <c r="P541" s="41"/>
      <c r="Q541" s="17">
        <f t="shared" si="453"/>
        <v>940713</v>
      </c>
      <c r="R541" s="16"/>
      <c r="S541" s="60">
        <f t="shared" si="454"/>
        <v>-6.216614991974638E-2</v>
      </c>
      <c r="T541" s="16"/>
      <c r="U541" s="41"/>
      <c r="V541" s="10">
        <f t="shared" si="349"/>
        <v>433</v>
      </c>
      <c r="W541" s="34">
        <v>1565</v>
      </c>
      <c r="X541" s="33">
        <v>4256</v>
      </c>
      <c r="Y541" s="33"/>
      <c r="Z541" s="33">
        <f t="shared" si="455"/>
        <v>5812</v>
      </c>
      <c r="AA541" s="33">
        <f t="shared" si="456"/>
        <v>636338</v>
      </c>
      <c r="AB541" s="33"/>
      <c r="AC541" s="46">
        <f t="shared" si="457"/>
        <v>1.6309978427157354E-2</v>
      </c>
      <c r="AD541" s="33"/>
      <c r="AE541" s="33">
        <f t="shared" si="458"/>
        <v>1196.124060150376</v>
      </c>
      <c r="AF541" s="50"/>
      <c r="AG541" s="33">
        <f t="shared" si="459"/>
        <v>7116</v>
      </c>
      <c r="AH541" s="33">
        <f>SUM(D512:D1284)</f>
        <v>825982391.06091404</v>
      </c>
      <c r="AI541" s="213">
        <f t="shared" si="460"/>
        <v>0.11291836096340319</v>
      </c>
      <c r="AJ541" s="50"/>
      <c r="AK541" s="111"/>
      <c r="AL541" s="23">
        <f t="shared" si="461"/>
        <v>61899</v>
      </c>
      <c r="AM541" s="24"/>
      <c r="AN541" s="24"/>
      <c r="AO541" s="24">
        <v>178263</v>
      </c>
      <c r="AP541" s="24">
        <v>31199835</v>
      </c>
      <c r="AQ541" s="24">
        <v>20336656</v>
      </c>
      <c r="AR541" s="461">
        <f t="shared" si="462"/>
        <v>1.9878966929599957E-3</v>
      </c>
      <c r="AS541" s="25"/>
      <c r="AT541" s="25"/>
      <c r="AU541" s="24"/>
      <c r="AV541" s="298">
        <f t="shared" si="463"/>
        <v>0.79968292916794059</v>
      </c>
      <c r="AW541" s="298"/>
      <c r="AX541" s="24">
        <f t="shared" si="464"/>
        <v>58646.306390977443</v>
      </c>
      <c r="AY541" s="308"/>
      <c r="AZ541" s="111"/>
      <c r="BA541" s="65">
        <f t="shared" si="465"/>
        <v>1881537</v>
      </c>
      <c r="BB541" s="66"/>
      <c r="BC541" s="66">
        <v>588561720</v>
      </c>
      <c r="BD541" s="66"/>
      <c r="BE541" s="66">
        <f t="shared" si="466"/>
        <v>177568</v>
      </c>
      <c r="BF541" s="66"/>
      <c r="BG541" s="144">
        <f t="shared" si="467"/>
        <v>9.4373908139994064E-2</v>
      </c>
      <c r="BH541" s="66"/>
      <c r="BI541" s="170"/>
      <c r="BJ541" s="66"/>
      <c r="BK541" s="66">
        <f t="shared" si="468"/>
        <v>12561720</v>
      </c>
      <c r="BL541" s="66"/>
      <c r="BM541" s="144">
        <f t="shared" si="469"/>
        <v>7.4887276583143078E-2</v>
      </c>
      <c r="BN541" s="65">
        <f t="shared" si="470"/>
        <v>1106319.0225563911</v>
      </c>
      <c r="BO541" s="66"/>
      <c r="BP541" s="66">
        <f t="shared" si="471"/>
        <v>38108279</v>
      </c>
      <c r="BQ541" s="66"/>
      <c r="BR541" s="435">
        <f t="shared" si="472"/>
        <v>6.4748144000938423E-2</v>
      </c>
      <c r="BS541" s="66"/>
      <c r="BT541" s="75"/>
      <c r="BU541" s="170"/>
      <c r="BV541" s="1"/>
      <c r="BW541" s="61">
        <f t="shared" si="399"/>
        <v>532</v>
      </c>
    </row>
    <row r="542" spans="2:75" x14ac:dyDescent="0.3">
      <c r="B542" s="158">
        <f t="shared" si="448"/>
        <v>44442</v>
      </c>
      <c r="C542" s="61"/>
      <c r="D542" s="17">
        <v>182593</v>
      </c>
      <c r="E542" s="16"/>
      <c r="F542" s="16"/>
      <c r="G542" s="16"/>
      <c r="H542" s="16">
        <f t="shared" si="449"/>
        <v>39197850</v>
      </c>
      <c r="I542" s="16"/>
      <c r="J542" s="436">
        <f t="shared" si="450"/>
        <v>4.6800409388563042E-3</v>
      </c>
      <c r="K542" s="16"/>
      <c r="L542" s="16"/>
      <c r="M542" s="16"/>
      <c r="N542" s="16">
        <f t="shared" si="451"/>
        <v>932936</v>
      </c>
      <c r="O542" s="16">
        <f t="shared" si="452"/>
        <v>73541.932457786112</v>
      </c>
      <c r="P542" s="41"/>
      <c r="Q542" s="17">
        <f t="shared" si="453"/>
        <v>932936</v>
      </c>
      <c r="R542" s="16"/>
      <c r="S542" s="60">
        <f t="shared" si="454"/>
        <v>-0.10495312434042128</v>
      </c>
      <c r="T542" s="16"/>
      <c r="U542" s="41"/>
      <c r="V542" s="10">
        <f t="shared" si="349"/>
        <v>434</v>
      </c>
      <c r="W542" s="34">
        <v>1512</v>
      </c>
      <c r="X542" s="33">
        <v>4256</v>
      </c>
      <c r="Y542" s="33"/>
      <c r="Z542" s="33">
        <f t="shared" si="455"/>
        <v>6676</v>
      </c>
      <c r="AA542" s="33">
        <f t="shared" si="456"/>
        <v>637850</v>
      </c>
      <c r="AB542" s="33"/>
      <c r="AC542" s="46">
        <f t="shared" si="457"/>
        <v>1.6272576174458549E-2</v>
      </c>
      <c r="AD542" s="33"/>
      <c r="AE542" s="33">
        <f t="shared" si="458"/>
        <v>1196.71669793621</v>
      </c>
      <c r="AF542" s="50"/>
      <c r="AG542" s="33">
        <f t="shared" si="459"/>
        <v>7324</v>
      </c>
      <c r="AH542" s="33">
        <f>SUM(D513:D1285)</f>
        <v>825870112.06091404</v>
      </c>
      <c r="AI542" s="213">
        <f t="shared" si="460"/>
        <v>0.10317818948636844</v>
      </c>
      <c r="AJ542" s="50"/>
      <c r="AK542" s="111"/>
      <c r="AL542" s="23">
        <f t="shared" si="461"/>
        <v>66012</v>
      </c>
      <c r="AM542" s="24"/>
      <c r="AN542" s="24"/>
      <c r="AO542" s="24">
        <v>178263</v>
      </c>
      <c r="AP542" s="24">
        <v>31265847</v>
      </c>
      <c r="AQ542" s="24">
        <v>20336656</v>
      </c>
      <c r="AR542" s="461">
        <f t="shared" si="462"/>
        <v>2.1157804199926056E-3</v>
      </c>
      <c r="AS542" s="25"/>
      <c r="AT542" s="25"/>
      <c r="AU542" s="24"/>
      <c r="AV542" s="298">
        <f t="shared" si="463"/>
        <v>0.79764188597078667</v>
      </c>
      <c r="AW542" s="298"/>
      <c r="AX542" s="24">
        <f t="shared" si="464"/>
        <v>58660.125703564729</v>
      </c>
      <c r="AY542" s="308"/>
      <c r="AZ542" s="111"/>
      <c r="BA542" s="65">
        <f t="shared" si="465"/>
        <v>2113664</v>
      </c>
      <c r="BB542" s="66"/>
      <c r="BC542" s="66">
        <v>590675384</v>
      </c>
      <c r="BD542" s="66"/>
      <c r="BE542" s="66">
        <f t="shared" si="466"/>
        <v>182593</v>
      </c>
      <c r="BF542" s="66"/>
      <c r="BG542" s="144">
        <f t="shared" si="467"/>
        <v>8.638695648882698E-2</v>
      </c>
      <c r="BH542" s="66"/>
      <c r="BI542" s="170"/>
      <c r="BJ542" s="66"/>
      <c r="BK542" s="66">
        <f t="shared" si="468"/>
        <v>13201146</v>
      </c>
      <c r="BL542" s="66"/>
      <c r="BM542" s="144">
        <f t="shared" si="469"/>
        <v>7.0670834183638301E-2</v>
      </c>
      <c r="BN542" s="65">
        <f t="shared" si="470"/>
        <v>1108208.9756097561</v>
      </c>
      <c r="BO542" s="66"/>
      <c r="BP542" s="66">
        <f t="shared" si="471"/>
        <v>38290872</v>
      </c>
      <c r="BQ542" s="66"/>
      <c r="BR542" s="435">
        <f t="shared" si="472"/>
        <v>6.4825576005381663E-2</v>
      </c>
      <c r="BS542" s="66"/>
      <c r="BT542" s="75"/>
      <c r="BU542" s="170"/>
      <c r="BV542" s="1"/>
      <c r="BW542" s="61">
        <f t="shared" si="399"/>
        <v>533</v>
      </c>
    </row>
    <row r="543" spans="2:75" x14ac:dyDescent="0.3">
      <c r="B543" s="158">
        <f t="shared" si="448"/>
        <v>44443</v>
      </c>
      <c r="C543" s="61"/>
      <c r="D543" s="17">
        <v>58682</v>
      </c>
      <c r="E543" s="16"/>
      <c r="F543" s="16"/>
      <c r="G543" s="16"/>
      <c r="H543" s="16">
        <f t="shared" si="449"/>
        <v>39256532</v>
      </c>
      <c r="I543" s="16"/>
      <c r="J543" s="436">
        <f t="shared" si="450"/>
        <v>1.4970719057295235E-3</v>
      </c>
      <c r="K543" s="16"/>
      <c r="L543" s="16"/>
      <c r="M543" s="16"/>
      <c r="N543" s="16">
        <f t="shared" si="451"/>
        <v>918833</v>
      </c>
      <c r="O543" s="16">
        <f t="shared" si="452"/>
        <v>73514.104868913855</v>
      </c>
      <c r="P543" s="41"/>
      <c r="Q543" s="17">
        <f t="shared" si="453"/>
        <v>918833</v>
      </c>
      <c r="R543" s="16"/>
      <c r="S543" s="60">
        <f t="shared" si="454"/>
        <v>-5.2782685967708347E-2</v>
      </c>
      <c r="T543" s="16"/>
      <c r="U543" s="41"/>
      <c r="V543" s="10">
        <f t="shared" si="349"/>
        <v>435</v>
      </c>
      <c r="W543" s="34">
        <v>576</v>
      </c>
      <c r="X543" s="33">
        <v>4256</v>
      </c>
      <c r="Y543" s="33"/>
      <c r="Z543" s="33">
        <f t="shared" si="455"/>
        <v>6968</v>
      </c>
      <c r="AA543" s="33">
        <f t="shared" si="456"/>
        <v>638426</v>
      </c>
      <c r="AB543" s="33"/>
      <c r="AC543" s="46">
        <f t="shared" si="457"/>
        <v>1.626292409120602E-2</v>
      </c>
      <c r="AD543" s="33"/>
      <c r="AE543" s="33">
        <f t="shared" si="458"/>
        <v>1195.5543071161048</v>
      </c>
      <c r="AF543" s="50"/>
      <c r="AG543" s="33">
        <f t="shared" si="459"/>
        <v>7252</v>
      </c>
      <c r="AH543" s="33">
        <f>SUM(D514:D1286)</f>
        <v>825749167.06091404</v>
      </c>
      <c r="AI543" s="213">
        <f t="shared" si="460"/>
        <v>0.11500615006150061</v>
      </c>
      <c r="AJ543" s="50"/>
      <c r="AK543" s="111"/>
      <c r="AL543" s="23">
        <f t="shared" si="461"/>
        <v>34077</v>
      </c>
      <c r="AM543" s="24"/>
      <c r="AN543" s="24"/>
      <c r="AO543" s="24">
        <v>178263</v>
      </c>
      <c r="AP543" s="24">
        <v>31299924</v>
      </c>
      <c r="AQ543" s="24">
        <v>20336656</v>
      </c>
      <c r="AR543" s="461">
        <f t="shared" si="462"/>
        <v>1.0899113016193036E-3</v>
      </c>
      <c r="AS543" s="25"/>
      <c r="AT543" s="25"/>
      <c r="AU543" s="24"/>
      <c r="AV543" s="298">
        <f t="shared" si="463"/>
        <v>0.79731760309341637</v>
      </c>
      <c r="AW543" s="298"/>
      <c r="AX543" s="24">
        <f t="shared" si="464"/>
        <v>58614.089887640446</v>
      </c>
      <c r="AY543" s="308"/>
      <c r="AZ543" s="111"/>
      <c r="BA543" s="65">
        <f t="shared" si="465"/>
        <v>834621</v>
      </c>
      <c r="BB543" s="66"/>
      <c r="BC543" s="66">
        <v>591510005</v>
      </c>
      <c r="BD543" s="66"/>
      <c r="BE543" s="66">
        <f t="shared" si="466"/>
        <v>58682</v>
      </c>
      <c r="BF543" s="66"/>
      <c r="BG543" s="144">
        <f t="shared" si="467"/>
        <v>7.0309757362922817E-2</v>
      </c>
      <c r="BH543" s="66"/>
      <c r="BI543" s="170"/>
      <c r="BJ543" s="66"/>
      <c r="BK543" s="66">
        <f t="shared" si="468"/>
        <v>13036394</v>
      </c>
      <c r="BL543" s="66"/>
      <c r="BM543" s="144">
        <f t="shared" si="469"/>
        <v>7.0482144065299041E-2</v>
      </c>
      <c r="BN543" s="65">
        <f t="shared" si="470"/>
        <v>1107696.638576779</v>
      </c>
      <c r="BO543" s="66"/>
      <c r="BP543" s="66">
        <f t="shared" si="471"/>
        <v>38349554</v>
      </c>
      <c r="BQ543" s="66"/>
      <c r="BR543" s="435">
        <f t="shared" si="472"/>
        <v>6.4833314188827623E-2</v>
      </c>
      <c r="BS543" s="66"/>
      <c r="BT543" s="75"/>
      <c r="BU543" s="170"/>
      <c r="BV543" s="1"/>
      <c r="BW543" s="61">
        <f t="shared" si="399"/>
        <v>534</v>
      </c>
    </row>
    <row r="544" spans="2:75" x14ac:dyDescent="0.3">
      <c r="B544" s="347">
        <f t="shared" si="448"/>
        <v>44444</v>
      </c>
      <c r="C544" s="61"/>
      <c r="D544" s="17">
        <v>35586</v>
      </c>
      <c r="E544" s="16"/>
      <c r="F544" s="16"/>
      <c r="G544" s="16"/>
      <c r="H544" s="16">
        <f t="shared" si="449"/>
        <v>39292118</v>
      </c>
      <c r="I544" s="16"/>
      <c r="J544" s="436">
        <f t="shared" si="450"/>
        <v>9.0649882164833102E-4</v>
      </c>
      <c r="K544" s="16"/>
      <c r="L544" s="16"/>
      <c r="M544" s="16"/>
      <c r="N544" s="16">
        <f t="shared" si="451"/>
        <v>917157</v>
      </c>
      <c r="O544" s="16">
        <f t="shared" si="452"/>
        <v>73443.211214953277</v>
      </c>
      <c r="P544" s="41"/>
      <c r="Q544" s="17">
        <f t="shared" si="453"/>
        <v>917157</v>
      </c>
      <c r="R544" s="16"/>
      <c r="S544" s="60">
        <f t="shared" si="454"/>
        <v>9.9591130178733264E-3</v>
      </c>
      <c r="T544" s="16"/>
      <c r="U544" s="41"/>
      <c r="V544" s="10">
        <f t="shared" si="349"/>
        <v>436</v>
      </c>
      <c r="W544" s="34">
        <v>367</v>
      </c>
      <c r="X544" s="33">
        <v>4256</v>
      </c>
      <c r="Y544" s="33"/>
      <c r="Z544" s="33">
        <f t="shared" si="455"/>
        <v>6766</v>
      </c>
      <c r="AA544" s="33">
        <f t="shared" si="456"/>
        <v>638793</v>
      </c>
      <c r="AB544" s="33"/>
      <c r="AC544" s="46">
        <f t="shared" si="457"/>
        <v>1.6257535417154148E-2</v>
      </c>
      <c r="AD544" s="33"/>
      <c r="AE544" s="33">
        <f t="shared" si="458"/>
        <v>1194.0056074766355</v>
      </c>
      <c r="AF544" s="50"/>
      <c r="AG544" s="33">
        <f t="shared" si="459"/>
        <v>7335</v>
      </c>
      <c r="AH544" s="33">
        <f>SUM(D515:D1287)</f>
        <v>825618461.06091404</v>
      </c>
      <c r="AI544" s="213">
        <f t="shared" si="460"/>
        <v>0.14591470082799562</v>
      </c>
      <c r="AJ544" s="50"/>
      <c r="AK544" s="111"/>
      <c r="AL544" s="23">
        <f t="shared" si="461"/>
        <v>15827</v>
      </c>
      <c r="AM544" s="24"/>
      <c r="AN544" s="24"/>
      <c r="AO544" s="24">
        <v>178263</v>
      </c>
      <c r="AP544" s="24">
        <v>31315751</v>
      </c>
      <c r="AQ544" s="24">
        <v>20336656</v>
      </c>
      <c r="AR544" s="461">
        <f t="shared" si="462"/>
        <v>5.0565617986804054E-4</v>
      </c>
      <c r="AS544" s="25"/>
      <c r="AT544" s="25"/>
      <c r="AU544" s="24"/>
      <c r="AV544" s="298">
        <f t="shared" si="463"/>
        <v>0.79699829365268626</v>
      </c>
      <c r="AW544" s="298"/>
      <c r="AX544" s="24">
        <f t="shared" si="464"/>
        <v>58534.114018691587</v>
      </c>
      <c r="AY544" s="308"/>
      <c r="AZ544" s="111"/>
      <c r="BA544" s="65">
        <f t="shared" si="465"/>
        <v>907739</v>
      </c>
      <c r="BB544" s="66"/>
      <c r="BC544" s="66">
        <v>592417744</v>
      </c>
      <c r="BD544" s="66"/>
      <c r="BE544" s="66">
        <f t="shared" si="466"/>
        <v>35586</v>
      </c>
      <c r="BF544" s="66"/>
      <c r="BG544" s="144">
        <f t="shared" si="467"/>
        <v>3.9202898630553498E-2</v>
      </c>
      <c r="BH544" s="66"/>
      <c r="BI544" s="170"/>
      <c r="BJ544" s="66"/>
      <c r="BK544" s="66">
        <f t="shared" si="468"/>
        <v>13053090</v>
      </c>
      <c r="BL544" s="66"/>
      <c r="BM544" s="144">
        <f t="shared" si="469"/>
        <v>7.0263592758496266E-2</v>
      </c>
      <c r="BN544" s="65">
        <f t="shared" si="470"/>
        <v>1107322.8859813083</v>
      </c>
      <c r="BO544" s="66"/>
      <c r="BP544" s="66">
        <f t="shared" si="471"/>
        <v>38385140</v>
      </c>
      <c r="BQ544" s="66"/>
      <c r="BR544" s="435">
        <f t="shared" si="472"/>
        <v>6.4794041685557621E-2</v>
      </c>
      <c r="BS544" s="66"/>
      <c r="BT544" s="75"/>
      <c r="BU544" s="170"/>
      <c r="BV544" s="1"/>
      <c r="BW544" s="61">
        <f t="shared" si="399"/>
        <v>535</v>
      </c>
    </row>
    <row r="545" spans="2:75" x14ac:dyDescent="0.3">
      <c r="B545" s="158">
        <f t="shared" si="448"/>
        <v>44445</v>
      </c>
      <c r="C545" s="61"/>
      <c r="D545" s="17">
        <v>39644</v>
      </c>
      <c r="E545" s="16"/>
      <c r="F545" s="16"/>
      <c r="G545" s="16"/>
      <c r="H545" s="16">
        <f t="shared" si="449"/>
        <v>39331762</v>
      </c>
      <c r="I545" s="16"/>
      <c r="J545" s="436">
        <f t="shared" si="450"/>
        <v>1.0089555365786086E-3</v>
      </c>
      <c r="K545" s="16"/>
      <c r="L545" s="16"/>
      <c r="M545" s="16"/>
      <c r="N545" s="16">
        <f t="shared" si="451"/>
        <v>837159</v>
      </c>
      <c r="O545" s="16">
        <f t="shared" si="452"/>
        <v>73380.15298507463</v>
      </c>
      <c r="P545" s="41"/>
      <c r="Q545" s="17">
        <f t="shared" si="453"/>
        <v>837159</v>
      </c>
      <c r="R545" s="16"/>
      <c r="S545" s="60">
        <f t="shared" si="454"/>
        <v>-8.669013692682144E-2</v>
      </c>
      <c r="T545" s="16"/>
      <c r="U545" s="41"/>
      <c r="V545" s="10">
        <f t="shared" si="349"/>
        <v>437</v>
      </c>
      <c r="W545" s="34">
        <v>236</v>
      </c>
      <c r="X545" s="33">
        <v>4256</v>
      </c>
      <c r="Y545" s="33"/>
      <c r="Z545" s="33">
        <f t="shared" si="455"/>
        <v>5736</v>
      </c>
      <c r="AA545" s="33">
        <f t="shared" si="456"/>
        <v>639029</v>
      </c>
      <c r="AB545" s="33"/>
      <c r="AC545" s="46">
        <f t="shared" si="457"/>
        <v>1.624714905983617E-2</v>
      </c>
      <c r="AD545" s="33"/>
      <c r="AE545" s="33">
        <f t="shared" si="458"/>
        <v>1192.2182835820895</v>
      </c>
      <c r="AF545" s="50"/>
      <c r="AG545" s="33">
        <f t="shared" si="459"/>
        <v>7002</v>
      </c>
      <c r="AH545" s="33">
        <f>SUM(D516:D1288)</f>
        <v>825549511.06091404</v>
      </c>
      <c r="AI545" s="213">
        <f t="shared" si="460"/>
        <v>6.6727605118829983E-2</v>
      </c>
      <c r="AJ545" s="50"/>
      <c r="AK545" s="111"/>
      <c r="AL545" s="23">
        <f t="shared" si="461"/>
        <v>19527</v>
      </c>
      <c r="AM545" s="24"/>
      <c r="AN545" s="24"/>
      <c r="AO545" s="24">
        <v>178263</v>
      </c>
      <c r="AP545" s="24">
        <v>31335278</v>
      </c>
      <c r="AQ545" s="24">
        <v>20336656</v>
      </c>
      <c r="AR545" s="461">
        <f t="shared" si="462"/>
        <v>6.2355202658240575E-4</v>
      </c>
      <c r="AS545" s="25"/>
      <c r="AT545" s="25"/>
      <c r="AU545" s="24"/>
      <c r="AV545" s="298">
        <f t="shared" si="463"/>
        <v>0.79669143731725012</v>
      </c>
      <c r="AW545" s="298"/>
      <c r="AX545" s="24">
        <f t="shared" si="464"/>
        <v>58461.339552238809</v>
      </c>
      <c r="AY545" s="308"/>
      <c r="AZ545" s="111"/>
      <c r="BA545" s="65">
        <f t="shared" si="465"/>
        <v>953476</v>
      </c>
      <c r="BB545" s="66"/>
      <c r="BC545" s="66">
        <v>593371220</v>
      </c>
      <c r="BD545" s="66"/>
      <c r="BE545" s="66">
        <f t="shared" si="466"/>
        <v>39644</v>
      </c>
      <c r="BF545" s="66"/>
      <c r="BG545" s="144">
        <f t="shared" si="467"/>
        <v>4.1578393163540561E-2</v>
      </c>
      <c r="BH545" s="66"/>
      <c r="BI545" s="170"/>
      <c r="BJ545" s="66"/>
      <c r="BK545" s="66">
        <f t="shared" si="468"/>
        <v>10847208</v>
      </c>
      <c r="BL545" s="66"/>
      <c r="BM545" s="144">
        <f t="shared" si="469"/>
        <v>7.7177371356758354E-2</v>
      </c>
      <c r="BN545" s="65">
        <f t="shared" si="470"/>
        <v>1107035.8582089553</v>
      </c>
      <c r="BO545" s="66"/>
      <c r="BP545" s="66">
        <f t="shared" si="471"/>
        <v>38424784</v>
      </c>
      <c r="BQ545" s="66"/>
      <c r="BR545" s="435">
        <f t="shared" si="472"/>
        <v>6.4756736937797557E-2</v>
      </c>
      <c r="BS545" s="66"/>
      <c r="BT545" s="75"/>
      <c r="BU545" s="170"/>
      <c r="BV545" s="1"/>
      <c r="BW545" s="61">
        <f t="shared" si="399"/>
        <v>536</v>
      </c>
    </row>
    <row r="546" spans="2:75" x14ac:dyDescent="0.3">
      <c r="B546" s="158">
        <f t="shared" si="448"/>
        <v>44446</v>
      </c>
      <c r="C546" s="61"/>
      <c r="D546" s="17">
        <v>115776</v>
      </c>
      <c r="E546" s="16"/>
      <c r="F546" s="16"/>
      <c r="G546" s="16"/>
      <c r="H546" s="16">
        <f t="shared" si="449"/>
        <v>39447538</v>
      </c>
      <c r="I546" s="16"/>
      <c r="J546" s="436">
        <f t="shared" si="450"/>
        <v>2.9435752204541457E-3</v>
      </c>
      <c r="K546" s="16"/>
      <c r="L546" s="16"/>
      <c r="M546" s="16"/>
      <c r="N546" s="16">
        <f t="shared" si="451"/>
        <v>794269</v>
      </c>
      <c r="O546" s="16">
        <f t="shared" si="452"/>
        <v>73459.102420856609</v>
      </c>
      <c r="P546" s="41"/>
      <c r="Q546" s="17">
        <f t="shared" si="453"/>
        <v>794269</v>
      </c>
      <c r="R546" s="16"/>
      <c r="S546" s="60">
        <f t="shared" si="454"/>
        <v>-0.14380036823518758</v>
      </c>
      <c r="T546" s="16"/>
      <c r="U546" s="41"/>
      <c r="V546" s="10">
        <f t="shared" si="349"/>
        <v>438</v>
      </c>
      <c r="W546" s="34">
        <v>919</v>
      </c>
      <c r="X546" s="33">
        <v>4256</v>
      </c>
      <c r="Y546" s="33"/>
      <c r="Z546" s="33">
        <f t="shared" si="455"/>
        <v>5175</v>
      </c>
      <c r="AA546" s="33">
        <f t="shared" si="456"/>
        <v>639948</v>
      </c>
      <c r="AB546" s="33"/>
      <c r="AC546" s="46">
        <f t="shared" si="457"/>
        <v>1.6222761481337569E-2</v>
      </c>
      <c r="AD546" s="33"/>
      <c r="AE546" s="33">
        <f t="shared" si="458"/>
        <v>1191.7094972067039</v>
      </c>
      <c r="AF546" s="50"/>
      <c r="AG546" s="33">
        <f t="shared" si="459"/>
        <v>6655</v>
      </c>
      <c r="AH546" s="33">
        <f>SUM(D517:D1289)</f>
        <v>825525121.06091404</v>
      </c>
      <c r="AI546" s="213">
        <f t="shared" si="460"/>
        <v>-6.1230585424133814E-3</v>
      </c>
      <c r="AJ546" s="50"/>
      <c r="AK546" s="111"/>
      <c r="AL546" s="23">
        <f t="shared" si="461"/>
        <v>209182</v>
      </c>
      <c r="AM546" s="24"/>
      <c r="AN546" s="24"/>
      <c r="AO546" s="24">
        <v>178263</v>
      </c>
      <c r="AP546" s="24">
        <v>31544460</v>
      </c>
      <c r="AQ546" s="24">
        <v>20336656</v>
      </c>
      <c r="AR546" s="461">
        <f t="shared" si="462"/>
        <v>6.6756069628614752E-3</v>
      </c>
      <c r="AS546" s="25"/>
      <c r="AT546" s="25"/>
      <c r="AU546" s="24"/>
      <c r="AV546" s="298">
        <f t="shared" si="463"/>
        <v>0.79965598867031951</v>
      </c>
      <c r="AW546" s="298"/>
      <c r="AX546" s="24">
        <f t="shared" si="464"/>
        <v>58742.011173184357</v>
      </c>
      <c r="AY546" s="308"/>
      <c r="AZ546" s="111"/>
      <c r="BA546" s="65">
        <f t="shared" si="465"/>
        <v>3957044</v>
      </c>
      <c r="BB546" s="66"/>
      <c r="BC546" s="66">
        <v>597328264</v>
      </c>
      <c r="BD546" s="66"/>
      <c r="BE546" s="66">
        <f t="shared" si="466"/>
        <v>115776</v>
      </c>
      <c r="BF546" s="66"/>
      <c r="BG546" s="144">
        <f t="shared" si="467"/>
        <v>2.9258203851157582E-2</v>
      </c>
      <c r="BH546" s="66"/>
      <c r="BI546" s="170"/>
      <c r="BJ546" s="66"/>
      <c r="BK546" s="66">
        <f t="shared" si="468"/>
        <v>13017220</v>
      </c>
      <c r="BL546" s="66"/>
      <c r="BM546" s="144">
        <f t="shared" si="469"/>
        <v>6.1016791603737207E-2</v>
      </c>
      <c r="BN546" s="65">
        <f t="shared" si="470"/>
        <v>1112343.1359404097</v>
      </c>
      <c r="BO546" s="66"/>
      <c r="BP546" s="66">
        <f t="shared" si="471"/>
        <v>38540560</v>
      </c>
      <c r="BQ546" s="66"/>
      <c r="BR546" s="435">
        <f t="shared" si="472"/>
        <v>6.4521574354968081E-2</v>
      </c>
      <c r="BS546" s="66"/>
      <c r="BT546" s="75"/>
      <c r="BU546" s="170"/>
      <c r="BV546" s="1"/>
      <c r="BW546" s="61">
        <f t="shared" si="399"/>
        <v>537</v>
      </c>
    </row>
    <row r="547" spans="2:75" x14ac:dyDescent="0.3">
      <c r="B547" s="158">
        <f t="shared" si="448"/>
        <v>44447</v>
      </c>
      <c r="C547" s="61"/>
      <c r="D547" s="17">
        <v>157759</v>
      </c>
      <c r="E547" s="16"/>
      <c r="F547" s="16"/>
      <c r="G547" s="16"/>
      <c r="H547" s="16">
        <f t="shared" si="449"/>
        <v>39605297</v>
      </c>
      <c r="I547" s="16"/>
      <c r="J547" s="436">
        <f t="shared" si="450"/>
        <v>3.9992102929211956E-3</v>
      </c>
      <c r="K547" s="16"/>
      <c r="L547" s="16"/>
      <c r="M547" s="16"/>
      <c r="N547" s="16">
        <f t="shared" si="451"/>
        <v>767608</v>
      </c>
      <c r="O547" s="16">
        <f t="shared" si="452"/>
        <v>73615.7936802974</v>
      </c>
      <c r="P547" s="41"/>
      <c r="Q547" s="17">
        <f t="shared" si="453"/>
        <v>767608</v>
      </c>
      <c r="R547" s="16"/>
      <c r="S547" s="60">
        <f t="shared" si="454"/>
        <v>-0.18370055436746491</v>
      </c>
      <c r="T547" s="16"/>
      <c r="U547" s="41"/>
      <c r="V547" s="10">
        <f t="shared" si="349"/>
        <v>439</v>
      </c>
      <c r="W547" s="34">
        <v>1700</v>
      </c>
      <c r="X547" s="33">
        <v>4256</v>
      </c>
      <c r="Y547" s="33"/>
      <c r="Z547" s="33">
        <f t="shared" si="455"/>
        <v>5310</v>
      </c>
      <c r="AA547" s="33">
        <f t="shared" si="456"/>
        <v>641648</v>
      </c>
      <c r="AB547" s="33"/>
      <c r="AC547" s="46">
        <f t="shared" si="457"/>
        <v>1.6201065226199414E-2</v>
      </c>
      <c r="AD547" s="33"/>
      <c r="AE547" s="33">
        <f t="shared" si="458"/>
        <v>1192.6542750929368</v>
      </c>
      <c r="AF547" s="50"/>
      <c r="AG547" s="33">
        <f t="shared" si="459"/>
        <v>6875</v>
      </c>
      <c r="AH547" s="33">
        <f>SUM(D518:D1290)</f>
        <v>825422746.06091404</v>
      </c>
      <c r="AI547" s="213">
        <f t="shared" si="460"/>
        <v>-2.0322252866889243E-3</v>
      </c>
      <c r="AJ547" s="50"/>
      <c r="AK547" s="111"/>
      <c r="AL547" s="23">
        <f t="shared" si="461"/>
        <v>123047</v>
      </c>
      <c r="AM547" s="24"/>
      <c r="AN547" s="24"/>
      <c r="AO547" s="24">
        <v>178263</v>
      </c>
      <c r="AP547" s="24">
        <v>31667507</v>
      </c>
      <c r="AQ547" s="24">
        <v>20336656</v>
      </c>
      <c r="AR547" s="461">
        <f t="shared" si="462"/>
        <v>3.9007483405960985E-3</v>
      </c>
      <c r="AS547" s="25"/>
      <c r="AT547" s="25"/>
      <c r="AU547" s="24"/>
      <c r="AV547" s="298">
        <f t="shared" si="463"/>
        <v>0.79957756660681023</v>
      </c>
      <c r="AW547" s="298"/>
      <c r="AX547" s="24">
        <f t="shared" si="464"/>
        <v>58861.53717472119</v>
      </c>
      <c r="AY547" s="308"/>
      <c r="AZ547" s="111"/>
      <c r="BA547" s="65">
        <f t="shared" si="465"/>
        <v>1689006</v>
      </c>
      <c r="BB547" s="66"/>
      <c r="BC547" s="66">
        <v>599017270</v>
      </c>
      <c r="BD547" s="66"/>
      <c r="BE547" s="66">
        <f t="shared" si="466"/>
        <v>157759</v>
      </c>
      <c r="BF547" s="66"/>
      <c r="BG547" s="144">
        <f t="shared" si="467"/>
        <v>9.3403457418150079E-2</v>
      </c>
      <c r="BH547" s="66"/>
      <c r="BI547" s="170"/>
      <c r="BJ547" s="66"/>
      <c r="BK547" s="66">
        <f t="shared" si="468"/>
        <v>12337087</v>
      </c>
      <c r="BL547" s="66"/>
      <c r="BM547" s="144">
        <f t="shared" si="469"/>
        <v>6.2219549882399305E-2</v>
      </c>
      <c r="BN547" s="65">
        <f t="shared" si="470"/>
        <v>1113415</v>
      </c>
      <c r="BO547" s="66"/>
      <c r="BP547" s="66">
        <f t="shared" si="471"/>
        <v>38698319</v>
      </c>
      <c r="BQ547" s="66"/>
      <c r="BR547" s="435">
        <f t="shared" si="472"/>
        <v>6.4603010527559582E-2</v>
      </c>
      <c r="BS547" s="66"/>
      <c r="BT547" s="75"/>
      <c r="BU547" s="170"/>
      <c r="BV547" s="1"/>
      <c r="BW547" s="61">
        <f t="shared" si="399"/>
        <v>538</v>
      </c>
    </row>
    <row r="548" spans="2:75" x14ac:dyDescent="0.3">
      <c r="B548" s="158">
        <f t="shared" si="448"/>
        <v>44448</v>
      </c>
      <c r="C548" s="61"/>
      <c r="D548" s="17">
        <v>160748</v>
      </c>
      <c r="E548" s="16"/>
      <c r="F548" s="16"/>
      <c r="G548" s="16"/>
      <c r="H548" s="16">
        <f t="shared" si="449"/>
        <v>39766045</v>
      </c>
      <c r="I548" s="16"/>
      <c r="J548" s="436">
        <f t="shared" si="450"/>
        <v>4.0587500202308793E-3</v>
      </c>
      <c r="K548" s="16"/>
      <c r="L548" s="16"/>
      <c r="M548" s="16"/>
      <c r="N548" s="16">
        <f t="shared" si="451"/>
        <v>750788</v>
      </c>
      <c r="O548" s="16">
        <f t="shared" si="452"/>
        <v>73777.448979591834</v>
      </c>
      <c r="P548" s="41"/>
      <c r="Q548" s="17">
        <f t="shared" si="453"/>
        <v>750788</v>
      </c>
      <c r="R548" s="16"/>
      <c r="S548" s="60">
        <f t="shared" si="454"/>
        <v>-0.20189473303760019</v>
      </c>
      <c r="T548" s="16"/>
      <c r="U548" s="41"/>
      <c r="V548" s="10">
        <f t="shared" si="349"/>
        <v>440</v>
      </c>
      <c r="W548" s="34">
        <v>1929</v>
      </c>
      <c r="X548" s="33">
        <v>4256</v>
      </c>
      <c r="Y548" s="33"/>
      <c r="Z548" s="33">
        <f t="shared" si="455"/>
        <v>5727</v>
      </c>
      <c r="AA548" s="33">
        <f t="shared" si="456"/>
        <v>643577</v>
      </c>
      <c r="AB548" s="33"/>
      <c r="AC548" s="46">
        <f t="shared" si="457"/>
        <v>1.618408368244818E-2</v>
      </c>
      <c r="AD548" s="33"/>
      <c r="AE548" s="33">
        <f t="shared" si="458"/>
        <v>1194.0204081632653</v>
      </c>
      <c r="AF548" s="50"/>
      <c r="AG548" s="33">
        <f t="shared" si="459"/>
        <v>7239</v>
      </c>
      <c r="AH548" s="33">
        <f>SUM(D519:D1291)</f>
        <v>825321492.06091404</v>
      </c>
      <c r="AI548" s="213">
        <f t="shared" si="460"/>
        <v>1.7284991568296795E-2</v>
      </c>
      <c r="AJ548" s="50"/>
      <c r="AK548" s="111"/>
      <c r="AL548" s="23">
        <f t="shared" si="461"/>
        <v>77452</v>
      </c>
      <c r="AM548" s="24"/>
      <c r="AN548" s="24"/>
      <c r="AO548" s="24">
        <v>178263</v>
      </c>
      <c r="AP548" s="24">
        <v>31744959</v>
      </c>
      <c r="AQ548" s="24">
        <v>20336656</v>
      </c>
      <c r="AR548" s="461">
        <f t="shared" si="462"/>
        <v>2.4457877280961841E-3</v>
      </c>
      <c r="AS548" s="25"/>
      <c r="AT548" s="25"/>
      <c r="AU548" s="24"/>
      <c r="AV548" s="298">
        <f t="shared" si="463"/>
        <v>0.7982930915055797</v>
      </c>
      <c r="AW548" s="298"/>
      <c r="AX548" s="24">
        <f t="shared" si="464"/>
        <v>58896.027829313542</v>
      </c>
      <c r="AY548" s="308"/>
      <c r="AZ548" s="111"/>
      <c r="BA548" s="65">
        <f t="shared" si="465"/>
        <v>1876420</v>
      </c>
      <c r="BB548" s="66"/>
      <c r="BC548" s="66">
        <v>600893690</v>
      </c>
      <c r="BD548" s="66"/>
      <c r="BE548" s="66">
        <f t="shared" si="466"/>
        <v>160748</v>
      </c>
      <c r="BF548" s="66"/>
      <c r="BG548" s="144">
        <f t="shared" si="467"/>
        <v>8.5667387898231737E-2</v>
      </c>
      <c r="BH548" s="66"/>
      <c r="BI548" s="170"/>
      <c r="BJ548" s="66"/>
      <c r="BK548" s="66">
        <f t="shared" si="468"/>
        <v>12331970</v>
      </c>
      <c r="BL548" s="66"/>
      <c r="BM548" s="144">
        <f t="shared" si="469"/>
        <v>6.0881432569167782E-2</v>
      </c>
      <c r="BN548" s="65">
        <f t="shared" si="470"/>
        <v>1114830.5936920224</v>
      </c>
      <c r="BO548" s="66"/>
      <c r="BP548" s="66">
        <f t="shared" si="471"/>
        <v>38859067</v>
      </c>
      <c r="BQ548" s="66"/>
      <c r="BR548" s="435">
        <f t="shared" si="472"/>
        <v>6.4668788583884113E-2</v>
      </c>
      <c r="BS548" s="66"/>
      <c r="BT548" s="75"/>
      <c r="BU548" s="170"/>
      <c r="BV548" s="1"/>
      <c r="BW548" s="61">
        <f t="shared" si="399"/>
        <v>539</v>
      </c>
    </row>
    <row r="549" spans="2:75" x14ac:dyDescent="0.3">
      <c r="B549" s="158">
        <f t="shared" si="448"/>
        <v>44449</v>
      </c>
      <c r="C549" s="61"/>
      <c r="D549" s="17">
        <v>171125</v>
      </c>
      <c r="E549" s="16"/>
      <c r="F549" s="16"/>
      <c r="G549" s="16"/>
      <c r="H549" s="16">
        <f t="shared" si="449"/>
        <v>39937170</v>
      </c>
      <c r="I549" s="16"/>
      <c r="J549" s="436">
        <f t="shared" si="450"/>
        <v>4.3032944312163804E-3</v>
      </c>
      <c r="K549" s="16"/>
      <c r="L549" s="16"/>
      <c r="M549" s="16"/>
      <c r="N549" s="16">
        <f t="shared" si="451"/>
        <v>739320</v>
      </c>
      <c r="O549" s="16">
        <f t="shared" si="452"/>
        <v>73957.722222222219</v>
      </c>
      <c r="P549" s="41"/>
      <c r="Q549" s="17">
        <f t="shared" si="453"/>
        <v>739320</v>
      </c>
      <c r="R549" s="16"/>
      <c r="S549" s="60">
        <f t="shared" si="454"/>
        <v>-0.20753406450174502</v>
      </c>
      <c r="T549" s="16"/>
      <c r="U549" s="41"/>
      <c r="V549" s="10">
        <f t="shared" si="349"/>
        <v>441</v>
      </c>
      <c r="W549" s="34">
        <v>1761</v>
      </c>
      <c r="X549" s="33">
        <v>4256</v>
      </c>
      <c r="Y549" s="33"/>
      <c r="Z549" s="33">
        <f t="shared" si="455"/>
        <v>6912</v>
      </c>
      <c r="AA549" s="33">
        <f t="shared" si="456"/>
        <v>645338</v>
      </c>
      <c r="AB549" s="33"/>
      <c r="AC549" s="46">
        <f t="shared" si="457"/>
        <v>1.6158831484554364E-2</v>
      </c>
      <c r="AD549" s="33"/>
      <c r="AE549" s="33">
        <f t="shared" si="458"/>
        <v>1195.0703703703705</v>
      </c>
      <c r="AF549" s="50"/>
      <c r="AG549" s="33">
        <f t="shared" si="459"/>
        <v>7488</v>
      </c>
      <c r="AH549" s="33">
        <f>SUM(D520:D1292)</f>
        <v>825176857.06091404</v>
      </c>
      <c r="AI549" s="213">
        <f t="shared" si="460"/>
        <v>2.2392135445111962E-2</v>
      </c>
      <c r="AJ549" s="50"/>
      <c r="AK549" s="111"/>
      <c r="AL549" s="23">
        <f t="shared" si="461"/>
        <v>76035</v>
      </c>
      <c r="AM549" s="24"/>
      <c r="AN549" s="24"/>
      <c r="AO549" s="24">
        <v>178263</v>
      </c>
      <c r="AP549" s="24">
        <v>31820994</v>
      </c>
      <c r="AQ549" s="24">
        <v>20336656</v>
      </c>
      <c r="AR549" s="461">
        <f t="shared" si="462"/>
        <v>2.3951834368411062E-3</v>
      </c>
      <c r="AS549" s="25"/>
      <c r="AT549" s="25"/>
      <c r="AU549" s="24"/>
      <c r="AV549" s="298">
        <f t="shared" si="463"/>
        <v>0.7967763865091092</v>
      </c>
      <c r="AW549" s="298"/>
      <c r="AX549" s="24">
        <f t="shared" si="464"/>
        <v>58927.76666666667</v>
      </c>
      <c r="AY549" s="308"/>
      <c r="AZ549" s="111"/>
      <c r="BA549" s="65">
        <f t="shared" si="465"/>
        <v>1900343</v>
      </c>
      <c r="BB549" s="66"/>
      <c r="BC549" s="66">
        <v>602794033</v>
      </c>
      <c r="BD549" s="66"/>
      <c r="BE549" s="66">
        <f t="shared" si="466"/>
        <v>171125</v>
      </c>
      <c r="BF549" s="66"/>
      <c r="BG549" s="144">
        <f t="shared" si="467"/>
        <v>9.0049533163223686E-2</v>
      </c>
      <c r="BH549" s="66"/>
      <c r="BI549" s="170"/>
      <c r="BJ549" s="66"/>
      <c r="BK549" s="66">
        <f t="shared" si="468"/>
        <v>12118649</v>
      </c>
      <c r="BL549" s="66"/>
      <c r="BM549" s="144">
        <f t="shared" si="469"/>
        <v>6.1006800345484058E-2</v>
      </c>
      <c r="BN549" s="65">
        <f t="shared" si="470"/>
        <v>1116285.2462962964</v>
      </c>
      <c r="BO549" s="66"/>
      <c r="BP549" s="66">
        <f t="shared" si="471"/>
        <v>39030192</v>
      </c>
      <c r="BQ549" s="66"/>
      <c r="BR549" s="435">
        <f t="shared" si="472"/>
        <v>6.4748802846892148E-2</v>
      </c>
      <c r="BS549" s="66"/>
      <c r="BT549" s="75"/>
      <c r="BU549" s="170"/>
      <c r="BV549" s="1"/>
      <c r="BW549" s="61">
        <f t="shared" si="399"/>
        <v>540</v>
      </c>
    </row>
    <row r="550" spans="2:75" x14ac:dyDescent="0.3">
      <c r="B550" s="158">
        <f t="shared" si="448"/>
        <v>44450</v>
      </c>
      <c r="C550" s="61"/>
      <c r="D550" s="17">
        <v>72088</v>
      </c>
      <c r="E550" s="16"/>
      <c r="F550" s="16"/>
      <c r="G550" s="16"/>
      <c r="H550" s="16">
        <f t="shared" si="449"/>
        <v>40009258</v>
      </c>
      <c r="I550" s="16"/>
      <c r="J550" s="436">
        <f t="shared" si="450"/>
        <v>1.8050352591332836E-3</v>
      </c>
      <c r="K550" s="16"/>
      <c r="L550" s="16"/>
      <c r="M550" s="16"/>
      <c r="N550" s="16">
        <f t="shared" si="451"/>
        <v>752726</v>
      </c>
      <c r="O550" s="16">
        <f t="shared" si="452"/>
        <v>73954.266173752316</v>
      </c>
      <c r="P550" s="41"/>
      <c r="Q550" s="17">
        <f t="shared" si="453"/>
        <v>752726</v>
      </c>
      <c r="R550" s="16"/>
      <c r="S550" s="60">
        <f t="shared" si="454"/>
        <v>-0.18078040296767747</v>
      </c>
      <c r="T550" s="16"/>
      <c r="U550" s="41"/>
      <c r="V550" s="10">
        <f t="shared" si="349"/>
        <v>442</v>
      </c>
      <c r="W550" s="34">
        <v>719</v>
      </c>
      <c r="X550" s="33">
        <v>4256</v>
      </c>
      <c r="Y550" s="33"/>
      <c r="Z550" s="33">
        <f t="shared" si="455"/>
        <v>7264</v>
      </c>
      <c r="AA550" s="33">
        <f t="shared" si="456"/>
        <v>646057</v>
      </c>
      <c r="AB550" s="33"/>
      <c r="AC550" s="46">
        <f t="shared" si="457"/>
        <v>1.6147687617700884E-2</v>
      </c>
      <c r="AD550" s="33"/>
      <c r="AE550" s="33">
        <f t="shared" si="458"/>
        <v>1194.1903881700555</v>
      </c>
      <c r="AF550" s="50"/>
      <c r="AG550" s="33">
        <f t="shared" si="459"/>
        <v>7631</v>
      </c>
      <c r="AH550" s="33">
        <f>SUM(D521:D1293)</f>
        <v>825033320.06091404</v>
      </c>
      <c r="AI550" s="213">
        <f t="shared" si="460"/>
        <v>5.2261445118587976E-2</v>
      </c>
      <c r="AJ550" s="50"/>
      <c r="AK550" s="111"/>
      <c r="AL550" s="23">
        <f t="shared" si="461"/>
        <v>36883</v>
      </c>
      <c r="AM550" s="24"/>
      <c r="AN550" s="24"/>
      <c r="AO550" s="24">
        <v>178263</v>
      </c>
      <c r="AP550" s="24">
        <v>31857877</v>
      </c>
      <c r="AQ550" s="24">
        <v>20336656</v>
      </c>
      <c r="AR550" s="461">
        <f t="shared" si="462"/>
        <v>1.1590775574138255E-3</v>
      </c>
      <c r="AS550" s="25"/>
      <c r="AT550" s="25"/>
      <c r="AU550" s="24"/>
      <c r="AV550" s="298">
        <f t="shared" si="463"/>
        <v>0.79626263001428321</v>
      </c>
      <c r="AW550" s="298"/>
      <c r="AX550" s="24">
        <f t="shared" si="464"/>
        <v>58887.018484288354</v>
      </c>
      <c r="AY550" s="308"/>
      <c r="AZ550" s="111"/>
      <c r="BA550" s="65">
        <f t="shared" si="465"/>
        <v>2261409</v>
      </c>
      <c r="BB550" s="66"/>
      <c r="BC550" s="66">
        <v>605055442</v>
      </c>
      <c r="BD550" s="66"/>
      <c r="BE550" s="66">
        <f t="shared" si="466"/>
        <v>72088</v>
      </c>
      <c r="BF550" s="66"/>
      <c r="BG550" s="144">
        <f t="shared" si="467"/>
        <v>3.1877471081082638E-2</v>
      </c>
      <c r="BH550" s="66"/>
      <c r="BI550" s="170"/>
      <c r="BJ550" s="66"/>
      <c r="BK550" s="66">
        <f t="shared" si="468"/>
        <v>13545437</v>
      </c>
      <c r="BL550" s="66"/>
      <c r="BM550" s="144">
        <f t="shared" si="469"/>
        <v>5.5570447819439123E-2</v>
      </c>
      <c r="BN550" s="65">
        <f t="shared" si="470"/>
        <v>1118401.9260628466</v>
      </c>
      <c r="BO550" s="66"/>
      <c r="BP550" s="66">
        <f t="shared" si="471"/>
        <v>39102280</v>
      </c>
      <c r="BQ550" s="66"/>
      <c r="BR550" s="435">
        <f t="shared" si="472"/>
        <v>6.4625945468316279E-2</v>
      </c>
      <c r="BS550" s="66"/>
      <c r="BT550" s="75"/>
      <c r="BU550" s="170"/>
      <c r="BV550" s="1"/>
      <c r="BW550" s="61">
        <f t="shared" si="399"/>
        <v>541</v>
      </c>
    </row>
    <row r="551" spans="2:75" x14ac:dyDescent="0.3">
      <c r="B551" s="347">
        <f t="shared" si="448"/>
        <v>44451</v>
      </c>
      <c r="C551" s="61"/>
      <c r="D551" s="17">
        <v>35450</v>
      </c>
      <c r="E551" s="16"/>
      <c r="F551" s="16"/>
      <c r="G551" s="16"/>
      <c r="H551" s="16">
        <f t="shared" si="449"/>
        <v>40044708</v>
      </c>
      <c r="I551" s="16"/>
      <c r="J551" s="436">
        <f t="shared" si="450"/>
        <v>8.8604492490213145E-4</v>
      </c>
      <c r="K551" s="16"/>
      <c r="L551" s="16"/>
      <c r="M551" s="16"/>
      <c r="N551" s="16">
        <f t="shared" si="451"/>
        <v>752590</v>
      </c>
      <c r="O551" s="16">
        <f t="shared" si="452"/>
        <v>73883.225092250927</v>
      </c>
      <c r="P551" s="41"/>
      <c r="Q551" s="17">
        <f t="shared" si="453"/>
        <v>752590</v>
      </c>
      <c r="R551" s="16"/>
      <c r="S551" s="60">
        <f t="shared" si="454"/>
        <v>-0.17943165673924966</v>
      </c>
      <c r="T551" s="16"/>
      <c r="U551" s="41"/>
      <c r="V551" s="10">
        <f t="shared" si="349"/>
        <v>443</v>
      </c>
      <c r="W551" s="34">
        <v>251</v>
      </c>
      <c r="X551" s="33">
        <v>4256</v>
      </c>
      <c r="Y551" s="33"/>
      <c r="Z551" s="33">
        <f t="shared" si="455"/>
        <v>7279</v>
      </c>
      <c r="AA551" s="33">
        <f t="shared" si="456"/>
        <v>646308</v>
      </c>
      <c r="AB551" s="33"/>
      <c r="AC551" s="46">
        <f t="shared" si="457"/>
        <v>1.6139660701234231E-2</v>
      </c>
      <c r="AD551" s="33"/>
      <c r="AE551" s="33">
        <f t="shared" si="458"/>
        <v>1192.4501845018451</v>
      </c>
      <c r="AF551" s="50"/>
      <c r="AG551" s="33">
        <f t="shared" si="459"/>
        <v>7515</v>
      </c>
      <c r="AH551" s="33">
        <f>SUM(D522:D1294)</f>
        <v>824878023.06091404</v>
      </c>
      <c r="AI551" s="213">
        <f t="shared" si="460"/>
        <v>2.4539877300613498E-2</v>
      </c>
      <c r="AJ551" s="50"/>
      <c r="AK551" s="111"/>
      <c r="AL551" s="23">
        <f t="shared" si="461"/>
        <v>13991</v>
      </c>
      <c r="AM551" s="24"/>
      <c r="AN551" s="24"/>
      <c r="AO551" s="24">
        <v>178263</v>
      </c>
      <c r="AP551" s="24">
        <v>31871868</v>
      </c>
      <c r="AQ551" s="24">
        <v>20336656</v>
      </c>
      <c r="AR551" s="461">
        <f t="shared" si="462"/>
        <v>4.3916925161083394E-4</v>
      </c>
      <c r="AS551" s="25"/>
      <c r="AT551" s="25"/>
      <c r="AU551" s="24"/>
      <c r="AV551" s="298">
        <f t="shared" si="463"/>
        <v>0.79590711461799146</v>
      </c>
      <c r="AW551" s="298"/>
      <c r="AX551" s="24">
        <f t="shared" si="464"/>
        <v>58804.184501845019</v>
      </c>
      <c r="AY551" s="308"/>
      <c r="AZ551" s="111"/>
      <c r="BA551" s="65">
        <f t="shared" si="465"/>
        <v>1143410</v>
      </c>
      <c r="BB551" s="66"/>
      <c r="BC551" s="66">
        <v>606198852</v>
      </c>
      <c r="BD551" s="66"/>
      <c r="BE551" s="66">
        <f t="shared" si="466"/>
        <v>35450</v>
      </c>
      <c r="BF551" s="66"/>
      <c r="BG551" s="144">
        <f t="shared" si="467"/>
        <v>3.1003751935001444E-2</v>
      </c>
      <c r="BH551" s="66"/>
      <c r="BI551" s="170"/>
      <c r="BJ551" s="66"/>
      <c r="BK551" s="66">
        <f t="shared" si="468"/>
        <v>13781108</v>
      </c>
      <c r="BL551" s="66"/>
      <c r="BM551" s="144">
        <f t="shared" si="469"/>
        <v>5.4610267911694765E-2</v>
      </c>
      <c r="BN551" s="65">
        <f t="shared" si="470"/>
        <v>1118448.0664206643</v>
      </c>
      <c r="BO551" s="66"/>
      <c r="BP551" s="66">
        <f t="shared" si="471"/>
        <v>39137730</v>
      </c>
      <c r="BQ551" s="66"/>
      <c r="BR551" s="435">
        <f t="shared" si="472"/>
        <v>6.4562527413034435E-2</v>
      </c>
      <c r="BS551" s="66"/>
      <c r="BT551" s="75"/>
      <c r="BU551" s="170"/>
      <c r="BV551" s="1"/>
      <c r="BW551" s="61">
        <f t="shared" si="399"/>
        <v>542</v>
      </c>
    </row>
    <row r="552" spans="2:75" x14ac:dyDescent="0.3">
      <c r="B552" s="158">
        <f t="shared" si="448"/>
        <v>44452</v>
      </c>
      <c r="C552" s="61"/>
      <c r="D552" s="17">
        <v>109432</v>
      </c>
      <c r="E552" s="16"/>
      <c r="F552" s="16"/>
      <c r="G552" s="16"/>
      <c r="H552" s="16">
        <f t="shared" ref="H552:H583" si="473">+H551+D552</f>
        <v>40154140</v>
      </c>
      <c r="I552" s="16"/>
      <c r="J552" s="436">
        <f t="shared" ref="J552:J583" si="474">+D552/H551</f>
        <v>2.7327456102314443E-3</v>
      </c>
      <c r="K552" s="16"/>
      <c r="L552" s="16"/>
      <c r="M552" s="16"/>
      <c r="N552" s="16">
        <f t="shared" ref="N552:N583" si="475">SUM(D546:D552)</f>
        <v>822378</v>
      </c>
      <c r="O552" s="16">
        <f t="shared" ref="O552:O583" si="476">+H552/BW552</f>
        <v>73948.69244935544</v>
      </c>
      <c r="P552" s="41"/>
      <c r="Q552" s="17">
        <f t="shared" ref="Q552:Q583" si="477">SUM(D546:D552)</f>
        <v>822378</v>
      </c>
      <c r="R552" s="16"/>
      <c r="S552" s="60">
        <f t="shared" ref="S552:S583" si="478">+(Q552-Q545)/Q545</f>
        <v>-1.7656144173329082E-2</v>
      </c>
      <c r="T552" s="16"/>
      <c r="U552" s="41"/>
      <c r="V552" s="10">
        <f t="shared" si="349"/>
        <v>444</v>
      </c>
      <c r="W552" s="34">
        <v>815</v>
      </c>
      <c r="X552" s="33">
        <v>4256</v>
      </c>
      <c r="Y552" s="33"/>
      <c r="Z552" s="33">
        <f t="shared" ref="Z552:Z583" si="479">SUM(W547:W552)</f>
        <v>7175</v>
      </c>
      <c r="AA552" s="33">
        <f t="shared" ref="AA552:AA583" si="480">+AA551+W552</f>
        <v>647123</v>
      </c>
      <c r="AB552" s="33"/>
      <c r="AC552" s="46">
        <f t="shared" ref="AC552:AC583" si="481">+AA552/H552</f>
        <v>1.6115972101506844E-2</v>
      </c>
      <c r="AD552" s="33"/>
      <c r="AE552" s="33">
        <f t="shared" ref="AE552:AE583" si="482">+AA552/BW552</f>
        <v>1191.7550644567218</v>
      </c>
      <c r="AF552" s="50"/>
      <c r="AG552" s="33">
        <f t="shared" ref="AG552:AG580" si="483">SUM(W546:W552)</f>
        <v>8094</v>
      </c>
      <c r="AH552" s="33">
        <f>SUM(D523:D1295)</f>
        <v>824806888.06091404</v>
      </c>
      <c r="AI552" s="213">
        <f t="shared" ref="AI552:AI580" si="484">+(AG552-AG545)/AG545</f>
        <v>0.15595544130248501</v>
      </c>
      <c r="AJ552" s="50"/>
      <c r="AK552" s="111"/>
      <c r="AL552" s="23">
        <f t="shared" ref="AL552:AL583" si="485">+AP552-AP551</f>
        <v>191037</v>
      </c>
      <c r="AM552" s="24"/>
      <c r="AN552" s="24"/>
      <c r="AO552" s="24">
        <v>178263</v>
      </c>
      <c r="AP552" s="24">
        <v>32062905</v>
      </c>
      <c r="AQ552" s="24">
        <v>20336656</v>
      </c>
      <c r="AR552" s="461">
        <f t="shared" ref="AR552:AR583" si="486">+AL552/AP551</f>
        <v>5.9939066012698093E-3</v>
      </c>
      <c r="AS552" s="25"/>
      <c r="AT552" s="25"/>
      <c r="AU552" s="24"/>
      <c r="AV552" s="298">
        <f t="shared" ref="AV552:AV583" si="487">+AP552/H552</f>
        <v>0.79849562212016001</v>
      </c>
      <c r="AW552" s="298"/>
      <c r="AX552" s="24">
        <f t="shared" ref="AX552:AX583" si="488">+AP552/BW552</f>
        <v>59047.707182320439</v>
      </c>
      <c r="AY552" s="308"/>
      <c r="AZ552" s="111"/>
      <c r="BA552" s="65">
        <f t="shared" ref="BA552:BA583" si="489">+BC552-BC551</f>
        <v>3507865</v>
      </c>
      <c r="BB552" s="66"/>
      <c r="BC552" s="66">
        <v>609706717</v>
      </c>
      <c r="BD552" s="66"/>
      <c r="BE552" s="66">
        <f t="shared" ref="BE552:BE583" si="490">+D552</f>
        <v>109432</v>
      </c>
      <c r="BF552" s="66"/>
      <c r="BG552" s="144">
        <f t="shared" ref="BG552:BG583" si="491">+BE552/BA552</f>
        <v>3.1196183433512978E-2</v>
      </c>
      <c r="BH552" s="66"/>
      <c r="BI552" s="170"/>
      <c r="BJ552" s="66"/>
      <c r="BK552" s="66">
        <f t="shared" ref="BK552:BK580" si="492">SUM(BA546:BA552)</f>
        <v>16335497</v>
      </c>
      <c r="BL552" s="66"/>
      <c r="BM552" s="144">
        <f t="shared" ref="BM552:BM580" si="493">+Q552/BK552</f>
        <v>5.034300456239562E-2</v>
      </c>
      <c r="BN552" s="65">
        <f t="shared" ref="BN552:BN583" si="494">+BC552/BW552</f>
        <v>1122848.4659300183</v>
      </c>
      <c r="BO552" s="66"/>
      <c r="BP552" s="66">
        <f t="shared" ref="BP552:BP583" si="495">+BP551+BE552</f>
        <v>39247162</v>
      </c>
      <c r="BQ552" s="66"/>
      <c r="BR552" s="435">
        <f t="shared" ref="BR552:BR583" si="496">+BP552/BC552</f>
        <v>6.4370558673048042E-2</v>
      </c>
      <c r="BS552" s="66"/>
      <c r="BT552" s="75"/>
      <c r="BU552" s="170"/>
      <c r="BV552" s="1"/>
      <c r="BW552" s="61">
        <f t="shared" si="399"/>
        <v>543</v>
      </c>
    </row>
    <row r="553" spans="2:75" x14ac:dyDescent="0.3">
      <c r="B553" s="158">
        <f t="shared" si="448"/>
        <v>44453</v>
      </c>
      <c r="C553" s="61"/>
      <c r="D553" s="17">
        <v>142059</v>
      </c>
      <c r="E553" s="16"/>
      <c r="F553" s="16"/>
      <c r="G553" s="16"/>
      <c r="H553" s="16">
        <f t="shared" si="473"/>
        <v>40296199</v>
      </c>
      <c r="I553" s="16"/>
      <c r="J553" s="436">
        <f t="shared" si="474"/>
        <v>3.5378419261376287E-3</v>
      </c>
      <c r="K553" s="16"/>
      <c r="L553" s="16"/>
      <c r="M553" s="16"/>
      <c r="N553" s="16">
        <f t="shared" si="475"/>
        <v>848661</v>
      </c>
      <c r="O553" s="16">
        <f t="shared" si="476"/>
        <v>74073.895220588238</v>
      </c>
      <c r="P553" s="41"/>
      <c r="Q553" s="17">
        <f t="shared" si="477"/>
        <v>848661</v>
      </c>
      <c r="R553" s="16"/>
      <c r="S553" s="60">
        <f t="shared" si="478"/>
        <v>6.8480577738776152E-2</v>
      </c>
      <c r="T553" s="16"/>
      <c r="U553" s="41"/>
      <c r="V553" s="10">
        <f t="shared" si="349"/>
        <v>445</v>
      </c>
      <c r="W553" s="34">
        <v>1934</v>
      </c>
      <c r="X553" s="33">
        <v>4256</v>
      </c>
      <c r="Y553" s="33"/>
      <c r="Z553" s="33">
        <f t="shared" si="479"/>
        <v>7409</v>
      </c>
      <c r="AA553" s="33">
        <f t="shared" si="480"/>
        <v>649057</v>
      </c>
      <c r="AB553" s="33"/>
      <c r="AC553" s="46">
        <f t="shared" si="481"/>
        <v>1.6107151942544258E-2</v>
      </c>
      <c r="AD553" s="33"/>
      <c r="AE553" s="33">
        <f t="shared" si="482"/>
        <v>1193.1194852941176</v>
      </c>
      <c r="AF553" s="50"/>
      <c r="AG553" s="33">
        <f t="shared" si="483"/>
        <v>9109</v>
      </c>
      <c r="AH553" s="33">
        <f>SUM(D524:D1296)</f>
        <v>824776005.06091404</v>
      </c>
      <c r="AI553" s="213">
        <f t="shared" si="484"/>
        <v>0.36874530428249436</v>
      </c>
      <c r="AJ553" s="50"/>
      <c r="AK553" s="111"/>
      <c r="AL553" s="23">
        <f t="shared" si="485"/>
        <v>113879</v>
      </c>
      <c r="AM553" s="24"/>
      <c r="AN553" s="24"/>
      <c r="AO553" s="24">
        <v>178263</v>
      </c>
      <c r="AP553" s="24">
        <v>32176784</v>
      </c>
      <c r="AQ553" s="24">
        <v>20336656</v>
      </c>
      <c r="AR553" s="461">
        <f t="shared" si="486"/>
        <v>3.5517368123693096E-3</v>
      </c>
      <c r="AS553" s="25"/>
      <c r="AT553" s="25"/>
      <c r="AU553" s="24"/>
      <c r="AV553" s="298">
        <f t="shared" si="487"/>
        <v>0.79850667801198816</v>
      </c>
      <c r="AW553" s="298"/>
      <c r="AX553" s="24">
        <f t="shared" si="488"/>
        <v>59148.5</v>
      </c>
      <c r="AY553" s="308"/>
      <c r="AZ553" s="111"/>
      <c r="BA553" s="65">
        <f t="shared" si="489"/>
        <v>1509314</v>
      </c>
      <c r="BB553" s="66"/>
      <c r="BC553" s="66">
        <v>611216031</v>
      </c>
      <c r="BD553" s="66"/>
      <c r="BE553" s="66">
        <f t="shared" si="490"/>
        <v>142059</v>
      </c>
      <c r="BF553" s="66"/>
      <c r="BG553" s="144">
        <f t="shared" si="491"/>
        <v>9.4121567811601831E-2</v>
      </c>
      <c r="BH553" s="66"/>
      <c r="BI553" s="170"/>
      <c r="BJ553" s="66"/>
      <c r="BK553" s="66">
        <f t="shared" si="492"/>
        <v>13887767</v>
      </c>
      <c r="BL553" s="66"/>
      <c r="BM553" s="144">
        <f t="shared" si="493"/>
        <v>6.1108528102466003E-2</v>
      </c>
      <c r="BN553" s="65">
        <f t="shared" si="494"/>
        <v>1123558.8805147058</v>
      </c>
      <c r="BO553" s="66"/>
      <c r="BP553" s="66">
        <f t="shared" si="495"/>
        <v>39389221</v>
      </c>
      <c r="BQ553" s="66"/>
      <c r="BR553" s="435">
        <f t="shared" si="496"/>
        <v>6.4444024701963351E-2</v>
      </c>
      <c r="BS553" s="66"/>
      <c r="BT553" s="75"/>
      <c r="BU553" s="170"/>
      <c r="BV553" s="1"/>
      <c r="BW553" s="61">
        <f t="shared" si="399"/>
        <v>544</v>
      </c>
    </row>
    <row r="554" spans="2:75" x14ac:dyDescent="0.3">
      <c r="B554" s="158">
        <f t="shared" si="448"/>
        <v>44454</v>
      </c>
      <c r="C554" s="61"/>
      <c r="D554" s="17">
        <v>164509</v>
      </c>
      <c r="E554" s="16"/>
      <c r="F554" s="16"/>
      <c r="G554" s="16"/>
      <c r="H554" s="16">
        <f t="shared" si="473"/>
        <v>40460708</v>
      </c>
      <c r="I554" s="16"/>
      <c r="J554" s="436">
        <f t="shared" si="474"/>
        <v>4.0824942322723792E-3</v>
      </c>
      <c r="K554" s="16"/>
      <c r="L554" s="16"/>
      <c r="M554" s="16"/>
      <c r="N554" s="16">
        <f t="shared" si="475"/>
        <v>855411</v>
      </c>
      <c r="O554" s="16">
        <f t="shared" si="476"/>
        <v>74239.831192660553</v>
      </c>
      <c r="P554" s="41"/>
      <c r="Q554" s="17">
        <f t="shared" si="477"/>
        <v>855411</v>
      </c>
      <c r="R554" s="16"/>
      <c r="S554" s="60">
        <f t="shared" si="478"/>
        <v>0.1143852070327563</v>
      </c>
      <c r="T554" s="16"/>
      <c r="U554" s="41"/>
      <c r="V554" s="10">
        <f t="shared" si="349"/>
        <v>446</v>
      </c>
      <c r="W554" s="34">
        <v>2282</v>
      </c>
      <c r="X554" s="33">
        <v>4256</v>
      </c>
      <c r="Y554" s="33"/>
      <c r="Z554" s="33">
        <f t="shared" si="479"/>
        <v>7762</v>
      </c>
      <c r="AA554" s="33">
        <f t="shared" si="480"/>
        <v>651339</v>
      </c>
      <c r="AB554" s="33"/>
      <c r="AC554" s="46">
        <f t="shared" si="481"/>
        <v>1.6098062347302475E-2</v>
      </c>
      <c r="AD554" s="33"/>
      <c r="AE554" s="33">
        <f t="shared" si="482"/>
        <v>1195.1174311926607</v>
      </c>
      <c r="AF554" s="50"/>
      <c r="AG554" s="33">
        <f t="shared" si="483"/>
        <v>9691</v>
      </c>
      <c r="AH554" s="33">
        <f>SUM(D525:D1297)</f>
        <v>824672308.06091404</v>
      </c>
      <c r="AI554" s="213">
        <f t="shared" si="484"/>
        <v>0.40960000000000002</v>
      </c>
      <c r="AJ554" s="50"/>
      <c r="AK554" s="111"/>
      <c r="AL554" s="23">
        <f t="shared" si="485"/>
        <v>94300</v>
      </c>
      <c r="AM554" s="24"/>
      <c r="AN554" s="24"/>
      <c r="AO554" s="24">
        <v>178263</v>
      </c>
      <c r="AP554" s="24">
        <v>32271084</v>
      </c>
      <c r="AQ554" s="24">
        <v>20336656</v>
      </c>
      <c r="AR554" s="461">
        <f t="shared" si="486"/>
        <v>2.9306844338452221E-3</v>
      </c>
      <c r="AS554" s="25"/>
      <c r="AT554" s="25"/>
      <c r="AU554" s="24"/>
      <c r="AV554" s="298">
        <f t="shared" si="487"/>
        <v>0.79759068971309155</v>
      </c>
      <c r="AW554" s="298"/>
      <c r="AX554" s="24">
        <f t="shared" si="488"/>
        <v>59212.998165137615</v>
      </c>
      <c r="AY554" s="308"/>
      <c r="AZ554" s="111"/>
      <c r="BA554" s="65">
        <f t="shared" si="489"/>
        <v>2550940</v>
      </c>
      <c r="BB554" s="66"/>
      <c r="BC554" s="66">
        <v>613766971</v>
      </c>
      <c r="BD554" s="66"/>
      <c r="BE554" s="66">
        <f t="shared" si="490"/>
        <v>164509</v>
      </c>
      <c r="BF554" s="66"/>
      <c r="BG554" s="144">
        <f t="shared" si="491"/>
        <v>6.4489560710953603E-2</v>
      </c>
      <c r="BH554" s="66"/>
      <c r="BI554" s="170"/>
      <c r="BJ554" s="66"/>
      <c r="BK554" s="66">
        <f t="shared" si="492"/>
        <v>14749701</v>
      </c>
      <c r="BL554" s="66"/>
      <c r="BM554" s="144">
        <f t="shared" si="493"/>
        <v>5.7995141732025621E-2</v>
      </c>
      <c r="BN554" s="65">
        <f t="shared" si="494"/>
        <v>1126177.9284403669</v>
      </c>
      <c r="BO554" s="66"/>
      <c r="BP554" s="66">
        <f t="shared" si="495"/>
        <v>39553730</v>
      </c>
      <c r="BQ554" s="66"/>
      <c r="BR554" s="435">
        <f t="shared" si="496"/>
        <v>6.4444213958851165E-2</v>
      </c>
      <c r="BS554" s="66"/>
      <c r="BT554" s="75"/>
      <c r="BU554" s="170"/>
      <c r="BV554" s="1"/>
      <c r="BW554" s="61">
        <f t="shared" si="399"/>
        <v>545</v>
      </c>
    </row>
    <row r="555" spans="2:75" x14ac:dyDescent="0.3">
      <c r="B555" s="158">
        <f t="shared" si="448"/>
        <v>44455</v>
      </c>
      <c r="C555" s="61"/>
      <c r="D555" s="17">
        <v>151142</v>
      </c>
      <c r="E555" s="16"/>
      <c r="F555" s="16"/>
      <c r="G555" s="16"/>
      <c r="H555" s="16">
        <f t="shared" si="473"/>
        <v>40611850</v>
      </c>
      <c r="I555" s="16"/>
      <c r="J555" s="436">
        <f t="shared" si="474"/>
        <v>3.7355253397938562E-3</v>
      </c>
      <c r="K555" s="16"/>
      <c r="L555" s="16"/>
      <c r="M555" s="16"/>
      <c r="N555" s="16">
        <f t="shared" si="475"/>
        <v>845805</v>
      </c>
      <c r="O555" s="16">
        <f t="shared" si="476"/>
        <v>74380.67765567766</v>
      </c>
      <c r="P555" s="41"/>
      <c r="Q555" s="17">
        <f t="shared" si="477"/>
        <v>845805</v>
      </c>
      <c r="R555" s="16"/>
      <c r="S555" s="60">
        <f t="shared" si="478"/>
        <v>0.1265563647794051</v>
      </c>
      <c r="T555" s="16"/>
      <c r="U555" s="41"/>
      <c r="V555" s="10">
        <f t="shared" si="349"/>
        <v>447</v>
      </c>
      <c r="W555" s="34">
        <v>1871</v>
      </c>
      <c r="X555" s="33">
        <v>4256</v>
      </c>
      <c r="Y555" s="33"/>
      <c r="Z555" s="33">
        <f t="shared" si="479"/>
        <v>7872</v>
      </c>
      <c r="AA555" s="33">
        <f t="shared" si="480"/>
        <v>653210</v>
      </c>
      <c r="AB555" s="33"/>
      <c r="AC555" s="46">
        <f t="shared" si="481"/>
        <v>1.6084221723462487E-2</v>
      </c>
      <c r="AD555" s="33"/>
      <c r="AE555" s="33">
        <f t="shared" si="482"/>
        <v>1196.3553113553114</v>
      </c>
      <c r="AF555" s="50"/>
      <c r="AG555" s="33">
        <f t="shared" si="483"/>
        <v>9633</v>
      </c>
      <c r="AH555" s="33">
        <f>SUM(D526:D1298)</f>
        <v>824528014.06091404</v>
      </c>
      <c r="AI555" s="213">
        <f t="shared" si="484"/>
        <v>0.33070866141732286</v>
      </c>
      <c r="AJ555" s="50"/>
      <c r="AK555" s="111"/>
      <c r="AL555" s="23">
        <f t="shared" si="485"/>
        <v>76642</v>
      </c>
      <c r="AM555" s="24"/>
      <c r="AN555" s="24"/>
      <c r="AO555" s="24">
        <v>178263</v>
      </c>
      <c r="AP555" s="24">
        <v>32347726</v>
      </c>
      <c r="AQ555" s="24">
        <v>20336656</v>
      </c>
      <c r="AR555" s="461">
        <f t="shared" si="486"/>
        <v>2.3749434633184309E-3</v>
      </c>
      <c r="AS555" s="25"/>
      <c r="AT555" s="25"/>
      <c r="AU555" s="24"/>
      <c r="AV555" s="298">
        <f t="shared" si="487"/>
        <v>0.7965095409344809</v>
      </c>
      <c r="AW555" s="298"/>
      <c r="AX555" s="24">
        <f t="shared" si="488"/>
        <v>59244.919413919415</v>
      </c>
      <c r="AY555" s="308"/>
      <c r="AZ555" s="111"/>
      <c r="BA555" s="65">
        <f t="shared" si="489"/>
        <v>1917422</v>
      </c>
      <c r="BB555" s="66"/>
      <c r="BC555" s="66">
        <v>615684393</v>
      </c>
      <c r="BD555" s="66"/>
      <c r="BE555" s="66">
        <f t="shared" si="490"/>
        <v>151142</v>
      </c>
      <c r="BF555" s="66"/>
      <c r="BG555" s="144">
        <f t="shared" si="491"/>
        <v>7.8825631498960588E-2</v>
      </c>
      <c r="BH555" s="66"/>
      <c r="BI555" s="170"/>
      <c r="BJ555" s="66"/>
      <c r="BK555" s="66">
        <f t="shared" si="492"/>
        <v>14790703</v>
      </c>
      <c r="BL555" s="66"/>
      <c r="BM555" s="144">
        <f t="shared" si="493"/>
        <v>5.7184908655119368E-2</v>
      </c>
      <c r="BN555" s="65">
        <f t="shared" si="494"/>
        <v>1127627.0934065934</v>
      </c>
      <c r="BO555" s="66"/>
      <c r="BP555" s="66">
        <f t="shared" si="495"/>
        <v>39704872</v>
      </c>
      <c r="BQ555" s="66"/>
      <c r="BR555" s="435">
        <f t="shared" si="496"/>
        <v>6.4489001916278876E-2</v>
      </c>
      <c r="BS555" s="66"/>
      <c r="BT555" s="75"/>
      <c r="BU555" s="170"/>
      <c r="BV555" s="1"/>
      <c r="BW555" s="61">
        <f t="shared" si="399"/>
        <v>546</v>
      </c>
    </row>
    <row r="556" spans="2:75" x14ac:dyDescent="0.3">
      <c r="B556" s="158">
        <f t="shared" si="448"/>
        <v>44456</v>
      </c>
      <c r="C556" s="61"/>
      <c r="D556" s="17">
        <v>158156</v>
      </c>
      <c r="E556" s="16"/>
      <c r="F556" s="16"/>
      <c r="G556" s="16"/>
      <c r="H556" s="16">
        <f t="shared" si="473"/>
        <v>40770006</v>
      </c>
      <c r="I556" s="16"/>
      <c r="J556" s="436">
        <f t="shared" si="474"/>
        <v>3.8943313343272959E-3</v>
      </c>
      <c r="K556" s="16"/>
      <c r="L556" s="16"/>
      <c r="M556" s="16"/>
      <c r="N556" s="16">
        <f t="shared" si="475"/>
        <v>832836</v>
      </c>
      <c r="O556" s="16">
        <f t="shared" si="476"/>
        <v>74533.831809872034</v>
      </c>
      <c r="P556" s="41"/>
      <c r="Q556" s="17">
        <f t="shared" si="477"/>
        <v>832836</v>
      </c>
      <c r="R556" s="16"/>
      <c r="S556" s="60">
        <f t="shared" si="478"/>
        <v>0.12648920629767896</v>
      </c>
      <c r="T556" s="16"/>
      <c r="U556" s="41"/>
      <c r="V556" s="10">
        <f t="shared" si="349"/>
        <v>448</v>
      </c>
      <c r="W556" s="34">
        <v>1938</v>
      </c>
      <c r="X556" s="33">
        <v>4256</v>
      </c>
      <c r="Y556" s="33"/>
      <c r="Z556" s="33">
        <f t="shared" si="479"/>
        <v>9091</v>
      </c>
      <c r="AA556" s="33">
        <f t="shared" si="480"/>
        <v>655148</v>
      </c>
      <c r="AB556" s="33"/>
      <c r="AC556" s="46">
        <f t="shared" si="481"/>
        <v>1.6069362364086973E-2</v>
      </c>
      <c r="AD556" s="33"/>
      <c r="AE556" s="33">
        <f t="shared" si="482"/>
        <v>1197.7111517367459</v>
      </c>
      <c r="AF556" s="50"/>
      <c r="AG556" s="33">
        <f t="shared" si="483"/>
        <v>9810</v>
      </c>
      <c r="AH556" s="33">
        <f>SUM(D527:D1299)</f>
        <v>824369887.06091404</v>
      </c>
      <c r="AI556" s="213">
        <f t="shared" si="484"/>
        <v>0.31009615384615385</v>
      </c>
      <c r="AJ556" s="50"/>
      <c r="AK556" s="111"/>
      <c r="AL556" s="23">
        <f t="shared" si="485"/>
        <v>86440</v>
      </c>
      <c r="AM556" s="24"/>
      <c r="AN556" s="24"/>
      <c r="AO556" s="24">
        <v>178263</v>
      </c>
      <c r="AP556" s="24">
        <v>32434166</v>
      </c>
      <c r="AQ556" s="24">
        <v>20336656</v>
      </c>
      <c r="AR556" s="461">
        <f t="shared" si="486"/>
        <v>2.6722125691308256E-3</v>
      </c>
      <c r="AS556" s="25"/>
      <c r="AT556" s="25"/>
      <c r="AU556" s="24"/>
      <c r="AV556" s="298">
        <f t="shared" si="487"/>
        <v>0.79553988782832163</v>
      </c>
      <c r="AW556" s="298"/>
      <c r="AX556" s="24">
        <f t="shared" si="488"/>
        <v>59294.636197440588</v>
      </c>
      <c r="AY556" s="308"/>
      <c r="AZ556" s="111"/>
      <c r="BA556" s="65">
        <f t="shared" si="489"/>
        <v>2140934</v>
      </c>
      <c r="BB556" s="66"/>
      <c r="BC556" s="66">
        <v>617825327</v>
      </c>
      <c r="BD556" s="66"/>
      <c r="BE556" s="66">
        <f t="shared" si="490"/>
        <v>158156</v>
      </c>
      <c r="BF556" s="66"/>
      <c r="BG556" s="144">
        <f t="shared" si="491"/>
        <v>7.3872431378080777E-2</v>
      </c>
      <c r="BH556" s="66"/>
      <c r="BI556" s="170"/>
      <c r="BJ556" s="66"/>
      <c r="BK556" s="66">
        <f t="shared" si="492"/>
        <v>15031294</v>
      </c>
      <c r="BL556" s="66"/>
      <c r="BM556" s="144">
        <f t="shared" si="493"/>
        <v>5.5406806626229252E-2</v>
      </c>
      <c r="BN556" s="65">
        <f t="shared" si="494"/>
        <v>1129479.5740402194</v>
      </c>
      <c r="BO556" s="66"/>
      <c r="BP556" s="66">
        <f t="shared" si="495"/>
        <v>39863028</v>
      </c>
      <c r="BQ556" s="66"/>
      <c r="BR556" s="435">
        <f t="shared" si="496"/>
        <v>6.452151806978286E-2</v>
      </c>
      <c r="BS556" s="66"/>
      <c r="BT556" s="75"/>
      <c r="BU556" s="170"/>
      <c r="BV556" s="1"/>
      <c r="BW556" s="61">
        <f t="shared" si="399"/>
        <v>547</v>
      </c>
    </row>
    <row r="557" spans="2:75" x14ac:dyDescent="0.3">
      <c r="B557" s="158">
        <f t="shared" si="448"/>
        <v>44457</v>
      </c>
      <c r="C557" s="61"/>
      <c r="D557" s="17">
        <v>64559</v>
      </c>
      <c r="E557" s="16"/>
      <c r="F557" s="16"/>
      <c r="G557" s="16"/>
      <c r="H557" s="16">
        <f t="shared" si="473"/>
        <v>40834565</v>
      </c>
      <c r="I557" s="16"/>
      <c r="J557" s="436">
        <f t="shared" si="474"/>
        <v>1.5834925312495662E-3</v>
      </c>
      <c r="K557" s="16"/>
      <c r="L557" s="16"/>
      <c r="M557" s="16"/>
      <c r="N557" s="16">
        <f t="shared" si="475"/>
        <v>825307</v>
      </c>
      <c r="O557" s="16">
        <f t="shared" si="476"/>
        <v>74515.629562043789</v>
      </c>
      <c r="P557" s="41"/>
      <c r="Q557" s="17">
        <f t="shared" si="477"/>
        <v>825307</v>
      </c>
      <c r="R557" s="16"/>
      <c r="S557" s="60">
        <f t="shared" si="478"/>
        <v>9.6424196852506749E-2</v>
      </c>
      <c r="T557" s="16"/>
      <c r="U557" s="41"/>
      <c r="V557" s="10">
        <f t="shared" si="349"/>
        <v>449</v>
      </c>
      <c r="W557" s="34">
        <v>849</v>
      </c>
      <c r="X557" s="33">
        <v>4256</v>
      </c>
      <c r="Y557" s="33"/>
      <c r="Z557" s="33">
        <f t="shared" si="479"/>
        <v>9689</v>
      </c>
      <c r="AA557" s="33">
        <f t="shared" si="480"/>
        <v>655997</v>
      </c>
      <c r="AB557" s="33"/>
      <c r="AC557" s="46">
        <f t="shared" si="481"/>
        <v>1.6064748087802574E-2</v>
      </c>
      <c r="AD557" s="33"/>
      <c r="AE557" s="33">
        <f t="shared" si="482"/>
        <v>1197.0748175182482</v>
      </c>
      <c r="AF557" s="50"/>
      <c r="AG557" s="33">
        <f t="shared" si="483"/>
        <v>9940</v>
      </c>
      <c r="AH557" s="33">
        <f>SUM(D528:D1300)</f>
        <v>824214970.06091404</v>
      </c>
      <c r="AI557" s="213">
        <f t="shared" si="484"/>
        <v>0.30258157515397721</v>
      </c>
      <c r="AJ557" s="50"/>
      <c r="AK557" s="111"/>
      <c r="AL557" s="23">
        <f t="shared" si="485"/>
        <v>49060</v>
      </c>
      <c r="AM557" s="24"/>
      <c r="AN557" s="24"/>
      <c r="AO557" s="24">
        <v>178263</v>
      </c>
      <c r="AP557" s="24">
        <v>32483226</v>
      </c>
      <c r="AQ557" s="24">
        <v>20336656</v>
      </c>
      <c r="AR557" s="461">
        <f t="shared" si="486"/>
        <v>1.5126024822096551E-3</v>
      </c>
      <c r="AS557" s="25"/>
      <c r="AT557" s="25"/>
      <c r="AU557" s="24"/>
      <c r="AV557" s="298">
        <f t="shared" si="487"/>
        <v>0.79548358112789985</v>
      </c>
      <c r="AW557" s="298"/>
      <c r="AX557" s="24">
        <f t="shared" si="488"/>
        <v>59275.959854014596</v>
      </c>
      <c r="AY557" s="308"/>
      <c r="AZ557" s="111"/>
      <c r="BA557" s="65">
        <f t="shared" si="489"/>
        <v>1161730</v>
      </c>
      <c r="BB557" s="66"/>
      <c r="BC557" s="66">
        <v>618987057</v>
      </c>
      <c r="BD557" s="66"/>
      <c r="BE557" s="66">
        <f t="shared" si="490"/>
        <v>64559</v>
      </c>
      <c r="BF557" s="66"/>
      <c r="BG557" s="144">
        <f t="shared" si="491"/>
        <v>5.5571432260508036E-2</v>
      </c>
      <c r="BH557" s="66"/>
      <c r="BI557" s="170"/>
      <c r="BJ557" s="66"/>
      <c r="BK557" s="66">
        <f t="shared" si="492"/>
        <v>13931615</v>
      </c>
      <c r="BL557" s="66"/>
      <c r="BM557" s="144">
        <f t="shared" si="493"/>
        <v>5.9239865586294196E-2</v>
      </c>
      <c r="BN557" s="65">
        <f t="shared" si="494"/>
        <v>1129538.4251824818</v>
      </c>
      <c r="BO557" s="66"/>
      <c r="BP557" s="66">
        <f t="shared" si="495"/>
        <v>39927587</v>
      </c>
      <c r="BQ557" s="66"/>
      <c r="BR557" s="435">
        <f t="shared" si="496"/>
        <v>6.4504720330525428E-2</v>
      </c>
      <c r="BS557" s="66"/>
      <c r="BT557" s="75"/>
      <c r="BU557" s="170"/>
      <c r="BV557" s="1"/>
      <c r="BW557" s="61">
        <f t="shared" si="399"/>
        <v>548</v>
      </c>
    </row>
    <row r="558" spans="2:75" x14ac:dyDescent="0.3">
      <c r="B558" s="347">
        <f t="shared" si="448"/>
        <v>44458</v>
      </c>
      <c r="C558" s="61"/>
      <c r="D558" s="17">
        <v>36497</v>
      </c>
      <c r="E558" s="16"/>
      <c r="F558" s="16"/>
      <c r="G558" s="16"/>
      <c r="H558" s="16">
        <f t="shared" si="473"/>
        <v>40871062</v>
      </c>
      <c r="I558" s="16"/>
      <c r="J558" s="436">
        <f t="shared" si="474"/>
        <v>8.9377712239618564E-4</v>
      </c>
      <c r="K558" s="16"/>
      <c r="L558" s="16"/>
      <c r="M558" s="16"/>
      <c r="N558" s="16">
        <f t="shared" si="475"/>
        <v>826354</v>
      </c>
      <c r="O558" s="16">
        <f t="shared" si="476"/>
        <v>74446.378870673958</v>
      </c>
      <c r="P558" s="41"/>
      <c r="Q558" s="17">
        <f t="shared" si="477"/>
        <v>826354</v>
      </c>
      <c r="R558" s="16"/>
      <c r="S558" s="60">
        <f t="shared" si="478"/>
        <v>9.8013526621400768E-2</v>
      </c>
      <c r="T558" s="16"/>
      <c r="U558" s="41"/>
      <c r="V558" s="10">
        <f t="shared" si="349"/>
        <v>450</v>
      </c>
      <c r="W558" s="34">
        <v>373</v>
      </c>
      <c r="X558" s="33">
        <v>4256</v>
      </c>
      <c r="Y558" s="33"/>
      <c r="Z558" s="33">
        <f t="shared" si="479"/>
        <v>9247</v>
      </c>
      <c r="AA558" s="33">
        <f t="shared" si="480"/>
        <v>656370</v>
      </c>
      <c r="AB558" s="33"/>
      <c r="AC558" s="46">
        <f t="shared" si="481"/>
        <v>1.6059528866658762E-2</v>
      </c>
      <c r="AD558" s="33"/>
      <c r="AE558" s="33">
        <f t="shared" si="482"/>
        <v>1195.5737704918033</v>
      </c>
      <c r="AF558" s="50"/>
      <c r="AG558" s="33">
        <f t="shared" si="483"/>
        <v>10062</v>
      </c>
      <c r="AH558" s="33">
        <f>SUM(D529:D1301)</f>
        <v>824063862.06091404</v>
      </c>
      <c r="AI558" s="213">
        <f t="shared" si="484"/>
        <v>0.33892215568862277</v>
      </c>
      <c r="AJ558" s="50"/>
      <c r="AK558" s="111"/>
      <c r="AL558" s="23">
        <f t="shared" si="485"/>
        <v>20769</v>
      </c>
      <c r="AM558" s="24"/>
      <c r="AN558" s="24"/>
      <c r="AO558" s="24">
        <v>178263</v>
      </c>
      <c r="AP558" s="24">
        <v>32503995</v>
      </c>
      <c r="AQ558" s="24">
        <v>20336656</v>
      </c>
      <c r="AR558" s="461">
        <f t="shared" si="486"/>
        <v>6.393761506323294E-4</v>
      </c>
      <c r="AS558" s="25"/>
      <c r="AT558" s="25"/>
      <c r="AU558" s="24"/>
      <c r="AV558" s="298">
        <f t="shared" si="487"/>
        <v>0.79528139004560239</v>
      </c>
      <c r="AW558" s="298"/>
      <c r="AX558" s="24">
        <f t="shared" si="488"/>
        <v>59205.819672131147</v>
      </c>
      <c r="AY558" s="308"/>
      <c r="AZ558" s="111"/>
      <c r="BA558" s="65">
        <f t="shared" si="489"/>
        <v>938244</v>
      </c>
      <c r="BB558" s="66"/>
      <c r="BC558" s="66">
        <v>619925301</v>
      </c>
      <c r="BD558" s="66"/>
      <c r="BE558" s="66">
        <f t="shared" si="490"/>
        <v>36497</v>
      </c>
      <c r="BF558" s="66"/>
      <c r="BG558" s="144">
        <f t="shared" si="491"/>
        <v>3.8899262878313107E-2</v>
      </c>
      <c r="BH558" s="66"/>
      <c r="BI558" s="170"/>
      <c r="BJ558" s="66"/>
      <c r="BK558" s="66">
        <f t="shared" si="492"/>
        <v>13726449</v>
      </c>
      <c r="BL558" s="66"/>
      <c r="BM558" s="144">
        <f t="shared" si="493"/>
        <v>6.0201586003779999E-2</v>
      </c>
      <c r="BN558" s="65">
        <f t="shared" si="494"/>
        <v>1129189.9836065574</v>
      </c>
      <c r="BO558" s="66"/>
      <c r="BP558" s="66">
        <f t="shared" si="495"/>
        <v>39964084</v>
      </c>
      <c r="BQ558" s="66"/>
      <c r="BR558" s="435">
        <f t="shared" si="496"/>
        <v>6.4465967005273114E-2</v>
      </c>
      <c r="BS558" s="66"/>
      <c r="BT558" s="75"/>
      <c r="BU558" s="170"/>
      <c r="BV558" s="1"/>
      <c r="BW558" s="61">
        <f t="shared" si="399"/>
        <v>549</v>
      </c>
    </row>
    <row r="559" spans="2:75" x14ac:dyDescent="0.3">
      <c r="B559" s="158">
        <f t="shared" si="448"/>
        <v>44459</v>
      </c>
      <c r="C559" s="61"/>
      <c r="D559" s="17">
        <v>86072</v>
      </c>
      <c r="E559" s="16"/>
      <c r="F559" s="16"/>
      <c r="G559" s="16"/>
      <c r="H559" s="16">
        <f t="shared" si="473"/>
        <v>40957134</v>
      </c>
      <c r="I559" s="16"/>
      <c r="J559" s="436">
        <f t="shared" si="474"/>
        <v>2.105939894588499E-3</v>
      </c>
      <c r="K559" s="16"/>
      <c r="L559" s="16"/>
      <c r="M559" s="16"/>
      <c r="N559" s="16">
        <f t="shared" si="475"/>
        <v>802994</v>
      </c>
      <c r="O559" s="16">
        <f t="shared" si="476"/>
        <v>74467.516363636358</v>
      </c>
      <c r="P559" s="41"/>
      <c r="Q559" s="17">
        <f t="shared" si="477"/>
        <v>802994</v>
      </c>
      <c r="R559" s="16"/>
      <c r="S559" s="60">
        <f t="shared" si="478"/>
        <v>-2.3570669448842261E-2</v>
      </c>
      <c r="T559" s="16"/>
      <c r="U559" s="41"/>
      <c r="V559" s="10">
        <f t="shared" si="349"/>
        <v>451</v>
      </c>
      <c r="W559" s="34">
        <v>746</v>
      </c>
      <c r="X559" s="33">
        <v>4256</v>
      </c>
      <c r="Y559" s="33"/>
      <c r="Z559" s="33">
        <f t="shared" si="479"/>
        <v>8059</v>
      </c>
      <c r="AA559" s="33">
        <f t="shared" si="480"/>
        <v>657116</v>
      </c>
      <c r="AB559" s="33"/>
      <c r="AC559" s="46">
        <f t="shared" si="481"/>
        <v>1.6043993703270351E-2</v>
      </c>
      <c r="AD559" s="33"/>
      <c r="AE559" s="33">
        <f t="shared" si="482"/>
        <v>1194.7563636363636</v>
      </c>
      <c r="AF559" s="50"/>
      <c r="AG559" s="33">
        <f t="shared" si="483"/>
        <v>9993</v>
      </c>
      <c r="AH559" s="33">
        <f>SUM(D530:D1302)</f>
        <v>823918779.06091404</v>
      </c>
      <c r="AI559" s="213">
        <f t="shared" si="484"/>
        <v>0.23461823573017049</v>
      </c>
      <c r="AJ559" s="50"/>
      <c r="AK559" s="111"/>
      <c r="AL559" s="23">
        <f t="shared" si="485"/>
        <v>171987</v>
      </c>
      <c r="AM559" s="24"/>
      <c r="AN559" s="24"/>
      <c r="AO559" s="24">
        <v>178263</v>
      </c>
      <c r="AP559" s="24">
        <v>32675982</v>
      </c>
      <c r="AQ559" s="24">
        <v>20336656</v>
      </c>
      <c r="AR559" s="461">
        <f t="shared" si="486"/>
        <v>5.2912572746826965E-3</v>
      </c>
      <c r="AS559" s="25"/>
      <c r="AT559" s="25"/>
      <c r="AU559" s="24"/>
      <c r="AV559" s="298">
        <f t="shared" si="487"/>
        <v>0.79780929007386114</v>
      </c>
      <c r="AW559" s="298"/>
      <c r="AX559" s="24">
        <f t="shared" si="488"/>
        <v>59410.876363636366</v>
      </c>
      <c r="AY559" s="308"/>
      <c r="AZ559" s="111"/>
      <c r="BA559" s="65">
        <f t="shared" si="489"/>
        <v>3246880</v>
      </c>
      <c r="BB559" s="66"/>
      <c r="BC559" s="66">
        <v>623172181</v>
      </c>
      <c r="BD559" s="66"/>
      <c r="BE559" s="66">
        <f t="shared" si="490"/>
        <v>86072</v>
      </c>
      <c r="BF559" s="66"/>
      <c r="BG559" s="144">
        <f t="shared" si="491"/>
        <v>2.6509141083132116E-2</v>
      </c>
      <c r="BH559" s="66"/>
      <c r="BI559" s="170"/>
      <c r="BJ559" s="66"/>
      <c r="BK559" s="66">
        <f t="shared" si="492"/>
        <v>13465464</v>
      </c>
      <c r="BL559" s="66"/>
      <c r="BM559" s="144">
        <f t="shared" si="493"/>
        <v>5.9633593019891476E-2</v>
      </c>
      <c r="BN559" s="65">
        <f t="shared" si="494"/>
        <v>1133040.3290909091</v>
      </c>
      <c r="BO559" s="66"/>
      <c r="BP559" s="66">
        <f t="shared" si="495"/>
        <v>40050156</v>
      </c>
      <c r="BQ559" s="66"/>
      <c r="BR559" s="435">
        <f t="shared" si="496"/>
        <v>6.4268202626971888E-2</v>
      </c>
      <c r="BS559" s="66"/>
      <c r="BT559" s="75"/>
      <c r="BU559" s="170"/>
      <c r="BV559" s="1"/>
      <c r="BW559" s="61">
        <f t="shared" si="399"/>
        <v>550</v>
      </c>
    </row>
    <row r="560" spans="2:75" x14ac:dyDescent="0.3">
      <c r="B560" s="158">
        <f t="shared" si="448"/>
        <v>44460</v>
      </c>
      <c r="C560" s="61"/>
      <c r="D560" s="17">
        <v>120579</v>
      </c>
      <c r="E560" s="16"/>
      <c r="F560" s="16"/>
      <c r="G560" s="16"/>
      <c r="H560" s="16">
        <f t="shared" si="473"/>
        <v>41077713</v>
      </c>
      <c r="I560" s="16"/>
      <c r="J560" s="436">
        <f t="shared" si="474"/>
        <v>2.9440292379833023E-3</v>
      </c>
      <c r="K560" s="16"/>
      <c r="L560" s="16"/>
      <c r="M560" s="16"/>
      <c r="N560" s="16">
        <f t="shared" si="475"/>
        <v>781514</v>
      </c>
      <c r="O560" s="16">
        <f t="shared" si="476"/>
        <v>74551.203266787663</v>
      </c>
      <c r="P560" s="41"/>
      <c r="Q560" s="17">
        <f t="shared" si="477"/>
        <v>781514</v>
      </c>
      <c r="R560" s="16"/>
      <c r="S560" s="60">
        <f t="shared" si="478"/>
        <v>-7.9121109606780565E-2</v>
      </c>
      <c r="T560" s="16"/>
      <c r="U560" s="41"/>
      <c r="V560" s="10">
        <f t="shared" si="349"/>
        <v>452</v>
      </c>
      <c r="W560" s="34">
        <v>1927</v>
      </c>
      <c r="X560" s="33">
        <v>4256</v>
      </c>
      <c r="Y560" s="33"/>
      <c r="Z560" s="33">
        <f t="shared" si="479"/>
        <v>7704</v>
      </c>
      <c r="AA560" s="33">
        <f t="shared" si="480"/>
        <v>659043</v>
      </c>
      <c r="AB560" s="33"/>
      <c r="AC560" s="46">
        <f t="shared" si="481"/>
        <v>1.6043809449664347E-2</v>
      </c>
      <c r="AD560" s="33"/>
      <c r="AE560" s="33">
        <f t="shared" si="482"/>
        <v>1196.0852994555353</v>
      </c>
      <c r="AF560" s="50"/>
      <c r="AG560" s="33">
        <f t="shared" si="483"/>
        <v>9986</v>
      </c>
      <c r="AH560" s="33">
        <f>SUM(D531:D1303)</f>
        <v>823819596.06091404</v>
      </c>
      <c r="AI560" s="213">
        <f t="shared" si="484"/>
        <v>9.6278405972115497E-2</v>
      </c>
      <c r="AJ560" s="50"/>
      <c r="AK560" s="111"/>
      <c r="AL560" s="23">
        <f t="shared" si="485"/>
        <v>154043</v>
      </c>
      <c r="AM560" s="24"/>
      <c r="AN560" s="24"/>
      <c r="AO560" s="24">
        <v>178263</v>
      </c>
      <c r="AP560" s="24">
        <v>32830025</v>
      </c>
      <c r="AQ560" s="24">
        <v>20336656</v>
      </c>
      <c r="AR560" s="461">
        <f t="shared" si="486"/>
        <v>4.7142577076949056E-3</v>
      </c>
      <c r="AS560" s="25"/>
      <c r="AT560" s="25"/>
      <c r="AU560" s="24"/>
      <c r="AV560" s="298">
        <f t="shared" si="487"/>
        <v>0.79921744913111403</v>
      </c>
      <c r="AW560" s="298"/>
      <c r="AX560" s="24">
        <f t="shared" si="488"/>
        <v>59582.622504537205</v>
      </c>
      <c r="AY560" s="308"/>
      <c r="AZ560" s="111"/>
      <c r="BA560" s="65">
        <f t="shared" si="489"/>
        <v>1840361</v>
      </c>
      <c r="BB560" s="66"/>
      <c r="BC560" s="66">
        <v>625012542</v>
      </c>
      <c r="BD560" s="66"/>
      <c r="BE560" s="66">
        <f t="shared" si="490"/>
        <v>120579</v>
      </c>
      <c r="BF560" s="66"/>
      <c r="BG560" s="144">
        <f t="shared" si="491"/>
        <v>6.5519210633131222E-2</v>
      </c>
      <c r="BH560" s="66"/>
      <c r="BI560" s="170"/>
      <c r="BJ560" s="66"/>
      <c r="BK560" s="66">
        <f t="shared" si="492"/>
        <v>13796511</v>
      </c>
      <c r="BL560" s="66"/>
      <c r="BM560" s="144">
        <f t="shared" si="493"/>
        <v>5.6645770803937318E-2</v>
      </c>
      <c r="BN560" s="65">
        <f t="shared" si="494"/>
        <v>1134324.0326678767</v>
      </c>
      <c r="BO560" s="66"/>
      <c r="BP560" s="66">
        <f t="shared" si="495"/>
        <v>40170735</v>
      </c>
      <c r="BQ560" s="66"/>
      <c r="BR560" s="435">
        <f t="shared" si="496"/>
        <v>6.4271886243204374E-2</v>
      </c>
      <c r="BS560" s="66"/>
      <c r="BT560" s="75"/>
      <c r="BU560" s="170"/>
      <c r="BV560" s="1"/>
      <c r="BW560" s="61">
        <f t="shared" si="399"/>
        <v>551</v>
      </c>
    </row>
    <row r="561" spans="2:75" x14ac:dyDescent="0.3">
      <c r="B561" s="158">
        <f t="shared" si="448"/>
        <v>44461</v>
      </c>
      <c r="C561" s="61"/>
      <c r="D561" s="17">
        <v>133620</v>
      </c>
      <c r="E561" s="16"/>
      <c r="F561" s="16"/>
      <c r="G561" s="16"/>
      <c r="H561" s="16">
        <f t="shared" si="473"/>
        <v>41211333</v>
      </c>
      <c r="I561" s="16"/>
      <c r="J561" s="436">
        <f t="shared" si="474"/>
        <v>3.2528587947435145E-3</v>
      </c>
      <c r="K561" s="16"/>
      <c r="L561" s="16"/>
      <c r="M561" s="16"/>
      <c r="N561" s="16">
        <f t="shared" si="475"/>
        <v>750625</v>
      </c>
      <c r="O561" s="16">
        <f t="shared" si="476"/>
        <v>74658.211956521744</v>
      </c>
      <c r="P561" s="41"/>
      <c r="Q561" s="17">
        <f t="shared" si="477"/>
        <v>750625</v>
      </c>
      <c r="R561" s="16"/>
      <c r="S561" s="60">
        <f t="shared" si="478"/>
        <v>-0.12249784021949682</v>
      </c>
      <c r="T561" s="16"/>
      <c r="U561" s="41"/>
      <c r="V561" s="10">
        <f t="shared" si="349"/>
        <v>453</v>
      </c>
      <c r="W561" s="34">
        <v>2228</v>
      </c>
      <c r="X561" s="33">
        <v>4256</v>
      </c>
      <c r="Y561" s="33"/>
      <c r="Z561" s="33">
        <f t="shared" si="479"/>
        <v>8061</v>
      </c>
      <c r="AA561" s="33">
        <f t="shared" si="480"/>
        <v>661271</v>
      </c>
      <c r="AB561" s="33"/>
      <c r="AC561" s="46">
        <f t="shared" si="481"/>
        <v>1.6045853212270519E-2</v>
      </c>
      <c r="AD561" s="33"/>
      <c r="AE561" s="33">
        <f t="shared" si="482"/>
        <v>1197.9547101449275</v>
      </c>
      <c r="AF561" s="50"/>
      <c r="AG561" s="33">
        <f t="shared" si="483"/>
        <v>9932</v>
      </c>
      <c r="AH561" s="33">
        <f>SUM(D532:D1304)</f>
        <v>823708462.06091404</v>
      </c>
      <c r="AI561" s="213">
        <f t="shared" si="484"/>
        <v>2.4868434630069138E-2</v>
      </c>
      <c r="AJ561" s="50"/>
      <c r="AK561" s="111"/>
      <c r="AL561" s="23">
        <f t="shared" si="485"/>
        <v>117829</v>
      </c>
      <c r="AM561" s="24"/>
      <c r="AN561" s="24"/>
      <c r="AO561" s="24">
        <v>178263</v>
      </c>
      <c r="AP561" s="24">
        <v>32947854</v>
      </c>
      <c r="AQ561" s="24">
        <v>20336656</v>
      </c>
      <c r="AR561" s="461">
        <f t="shared" si="486"/>
        <v>3.5890621466173112E-3</v>
      </c>
      <c r="AS561" s="25"/>
      <c r="AT561" s="25"/>
      <c r="AU561" s="24"/>
      <c r="AV561" s="298">
        <f t="shared" si="487"/>
        <v>0.79948527750849507</v>
      </c>
      <c r="AW561" s="298"/>
      <c r="AX561" s="24">
        <f t="shared" si="488"/>
        <v>59688.141304347824</v>
      </c>
      <c r="AY561" s="308"/>
      <c r="AZ561" s="111"/>
      <c r="BA561" s="65">
        <f t="shared" si="489"/>
        <v>2041090</v>
      </c>
      <c r="BB561" s="66"/>
      <c r="BC561" s="66">
        <v>627053632</v>
      </c>
      <c r="BD561" s="66"/>
      <c r="BE561" s="66">
        <f t="shared" si="490"/>
        <v>133620</v>
      </c>
      <c r="BF561" s="66"/>
      <c r="BG561" s="144">
        <f t="shared" si="491"/>
        <v>6.5465021140665033E-2</v>
      </c>
      <c r="BH561" s="66"/>
      <c r="BI561" s="170"/>
      <c r="BJ561" s="66"/>
      <c r="BK561" s="66">
        <f t="shared" si="492"/>
        <v>13286661</v>
      </c>
      <c r="BL561" s="66"/>
      <c r="BM561" s="144">
        <f t="shared" si="493"/>
        <v>5.649463021597375E-2</v>
      </c>
      <c r="BN561" s="65">
        <f t="shared" si="494"/>
        <v>1135966.7246376812</v>
      </c>
      <c r="BO561" s="66"/>
      <c r="BP561" s="66">
        <f t="shared" si="495"/>
        <v>40304355</v>
      </c>
      <c r="BQ561" s="66"/>
      <c r="BR561" s="435">
        <f t="shared" si="496"/>
        <v>6.4275769955192602E-2</v>
      </c>
      <c r="BS561" s="66"/>
      <c r="BT561" s="75"/>
      <c r="BU561" s="170"/>
      <c r="BV561" s="1"/>
      <c r="BW561" s="61">
        <f t="shared" si="399"/>
        <v>552</v>
      </c>
    </row>
    <row r="562" spans="2:75" x14ac:dyDescent="0.3">
      <c r="B562" s="158">
        <f t="shared" si="448"/>
        <v>44462</v>
      </c>
      <c r="C562" s="61"/>
      <c r="D562" s="17">
        <v>127463</v>
      </c>
      <c r="E562" s="16"/>
      <c r="F562" s="16"/>
      <c r="G562" s="16"/>
      <c r="H562" s="16">
        <f t="shared" si="473"/>
        <v>41338796</v>
      </c>
      <c r="I562" s="16"/>
      <c r="J562" s="436">
        <f t="shared" si="474"/>
        <v>3.0929113600863143E-3</v>
      </c>
      <c r="K562" s="16"/>
      <c r="L562" s="16"/>
      <c r="M562" s="16"/>
      <c r="N562" s="16">
        <f t="shared" si="475"/>
        <v>726946</v>
      </c>
      <c r="O562" s="16">
        <f t="shared" si="476"/>
        <v>74753.699819168178</v>
      </c>
      <c r="P562" s="41"/>
      <c r="Q562" s="17">
        <f t="shared" si="477"/>
        <v>726946</v>
      </c>
      <c r="R562" s="16"/>
      <c r="S562" s="60">
        <f t="shared" si="478"/>
        <v>-0.14052766299560773</v>
      </c>
      <c r="T562" s="16"/>
      <c r="U562" s="41"/>
      <c r="V562" s="10">
        <f t="shared" si="349"/>
        <v>454</v>
      </c>
      <c r="W562" s="34">
        <v>1974</v>
      </c>
      <c r="X562" s="33">
        <v>4256</v>
      </c>
      <c r="Y562" s="33"/>
      <c r="Z562" s="33">
        <f t="shared" si="479"/>
        <v>8097</v>
      </c>
      <c r="AA562" s="33">
        <f t="shared" si="480"/>
        <v>663245</v>
      </c>
      <c r="AB562" s="33"/>
      <c r="AC562" s="46">
        <f t="shared" si="481"/>
        <v>1.6044129587131663E-2</v>
      </c>
      <c r="AD562" s="33"/>
      <c r="AE562" s="33">
        <f t="shared" si="482"/>
        <v>1199.3580470162749</v>
      </c>
      <c r="AF562" s="50"/>
      <c r="AG562" s="33">
        <f t="shared" si="483"/>
        <v>10035</v>
      </c>
      <c r="AH562" s="33">
        <f>SUM(D533:D1305)</f>
        <v>823560843.06091404</v>
      </c>
      <c r="AI562" s="213">
        <f t="shared" si="484"/>
        <v>4.17315478044223E-2</v>
      </c>
      <c r="AJ562" s="50"/>
      <c r="AK562" s="111"/>
      <c r="AL562" s="23">
        <f t="shared" si="485"/>
        <v>85671</v>
      </c>
      <c r="AM562" s="24"/>
      <c r="AN562" s="24"/>
      <c r="AO562" s="24">
        <v>178263</v>
      </c>
      <c r="AP562" s="24">
        <v>33033525</v>
      </c>
      <c r="AQ562" s="24">
        <v>20336656</v>
      </c>
      <c r="AR562" s="461">
        <f t="shared" si="486"/>
        <v>2.6001996973763451E-3</v>
      </c>
      <c r="AS562" s="25"/>
      <c r="AT562" s="25"/>
      <c r="AU562" s="24"/>
      <c r="AV562" s="298">
        <f t="shared" si="487"/>
        <v>0.79909257637788966</v>
      </c>
      <c r="AW562" s="298"/>
      <c r="AX562" s="24">
        <f t="shared" si="488"/>
        <v>59735.126582278484</v>
      </c>
      <c r="AY562" s="308"/>
      <c r="AZ562" s="111"/>
      <c r="BA562" s="65">
        <f t="shared" si="489"/>
        <v>1964598</v>
      </c>
      <c r="BB562" s="66"/>
      <c r="BC562" s="66">
        <v>629018230</v>
      </c>
      <c r="BD562" s="66"/>
      <c r="BE562" s="66">
        <f t="shared" si="490"/>
        <v>127463</v>
      </c>
      <c r="BF562" s="66"/>
      <c r="BG562" s="144">
        <f t="shared" si="491"/>
        <v>6.4879939814659282E-2</v>
      </c>
      <c r="BH562" s="66"/>
      <c r="BI562" s="170"/>
      <c r="BJ562" s="66"/>
      <c r="BK562" s="66">
        <f t="shared" si="492"/>
        <v>13333837</v>
      </c>
      <c r="BL562" s="66"/>
      <c r="BM562" s="144">
        <f t="shared" si="493"/>
        <v>5.4518890548909515E-2</v>
      </c>
      <c r="BN562" s="65">
        <f t="shared" si="494"/>
        <v>1137465.1537070523</v>
      </c>
      <c r="BO562" s="66"/>
      <c r="BP562" s="66">
        <f t="shared" si="495"/>
        <v>40431818</v>
      </c>
      <c r="BQ562" s="66"/>
      <c r="BR562" s="435">
        <f t="shared" si="496"/>
        <v>6.4277656944855155E-2</v>
      </c>
      <c r="BS562" s="66"/>
      <c r="BT562" s="75"/>
      <c r="BU562" s="170"/>
      <c r="BV562" s="1"/>
      <c r="BW562" s="61">
        <f t="shared" si="399"/>
        <v>553</v>
      </c>
    </row>
    <row r="563" spans="2:75" x14ac:dyDescent="0.3">
      <c r="B563" s="158">
        <f t="shared" si="448"/>
        <v>44463</v>
      </c>
      <c r="C563" s="61"/>
      <c r="D563" s="17">
        <v>131007</v>
      </c>
      <c r="E563" s="16"/>
      <c r="F563" s="16"/>
      <c r="G563" s="16"/>
      <c r="H563" s="16">
        <f t="shared" si="473"/>
        <v>41469803</v>
      </c>
      <c r="I563" s="16"/>
      <c r="J563" s="436">
        <f t="shared" si="474"/>
        <v>3.1691053604947757E-3</v>
      </c>
      <c r="K563" s="16"/>
      <c r="L563" s="16"/>
      <c r="M563" s="16"/>
      <c r="N563" s="16">
        <f t="shared" si="475"/>
        <v>699797</v>
      </c>
      <c r="O563" s="16">
        <f t="shared" si="476"/>
        <v>74855.24007220217</v>
      </c>
      <c r="P563" s="41"/>
      <c r="Q563" s="17">
        <f t="shared" si="477"/>
        <v>699797</v>
      </c>
      <c r="R563" s="16"/>
      <c r="S563" s="60">
        <f t="shared" si="478"/>
        <v>-0.15974213410563423</v>
      </c>
      <c r="T563" s="16"/>
      <c r="U563" s="41"/>
      <c r="V563" s="10">
        <f t="shared" si="349"/>
        <v>455</v>
      </c>
      <c r="W563" s="34">
        <v>2004</v>
      </c>
      <c r="X563" s="33">
        <v>4256</v>
      </c>
      <c r="Y563" s="33"/>
      <c r="Z563" s="33">
        <f t="shared" si="479"/>
        <v>9252</v>
      </c>
      <c r="AA563" s="33">
        <f t="shared" si="480"/>
        <v>665249</v>
      </c>
      <c r="AB563" s="33"/>
      <c r="AC563" s="46">
        <f t="shared" si="481"/>
        <v>1.6041768995140874E-2</v>
      </c>
      <c r="AD563" s="33"/>
      <c r="AE563" s="33">
        <f t="shared" si="482"/>
        <v>1200.8104693140795</v>
      </c>
      <c r="AF563" s="50"/>
      <c r="AG563" s="33">
        <f t="shared" si="483"/>
        <v>10101</v>
      </c>
      <c r="AH563" s="33">
        <f>SUM(D534:D1306)</f>
        <v>823389106.06091404</v>
      </c>
      <c r="AI563" s="213">
        <f t="shared" si="484"/>
        <v>2.9663608562691131E-2</v>
      </c>
      <c r="AJ563" s="50"/>
      <c r="AK563" s="111"/>
      <c r="AL563" s="23">
        <f t="shared" si="485"/>
        <v>79468</v>
      </c>
      <c r="AM563" s="24"/>
      <c r="AN563" s="24"/>
      <c r="AO563" s="24">
        <v>178263</v>
      </c>
      <c r="AP563" s="24">
        <v>33112993</v>
      </c>
      <c r="AQ563" s="24">
        <v>20336656</v>
      </c>
      <c r="AR563" s="461">
        <f t="shared" si="486"/>
        <v>2.4056772627202212E-3</v>
      </c>
      <c r="AS563" s="25"/>
      <c r="AT563" s="25"/>
      <c r="AU563" s="24"/>
      <c r="AV563" s="298">
        <f t="shared" si="487"/>
        <v>0.79848445385670141</v>
      </c>
      <c r="AW563" s="298"/>
      <c r="AX563" s="24">
        <f t="shared" si="488"/>
        <v>59770.74548736462</v>
      </c>
      <c r="AY563" s="308"/>
      <c r="AZ563" s="111"/>
      <c r="BA563" s="65">
        <f t="shared" si="489"/>
        <v>2139205</v>
      </c>
      <c r="BB563" s="66"/>
      <c r="BC563" s="66">
        <v>631157435</v>
      </c>
      <c r="BD563" s="66"/>
      <c r="BE563" s="66">
        <f t="shared" si="490"/>
        <v>131007</v>
      </c>
      <c r="BF563" s="66"/>
      <c r="BG563" s="144">
        <f t="shared" si="491"/>
        <v>6.1240975035118189E-2</v>
      </c>
      <c r="BH563" s="66"/>
      <c r="BI563" s="170"/>
      <c r="BJ563" s="66"/>
      <c r="BK563" s="66">
        <f t="shared" si="492"/>
        <v>13332108</v>
      </c>
      <c r="BL563" s="66"/>
      <c r="BM563" s="144">
        <f t="shared" si="493"/>
        <v>5.2489598794129178E-2</v>
      </c>
      <c r="BN563" s="65">
        <f t="shared" si="494"/>
        <v>1139273.3483754513</v>
      </c>
      <c r="BO563" s="66"/>
      <c r="BP563" s="66">
        <f t="shared" si="495"/>
        <v>40562825</v>
      </c>
      <c r="BQ563" s="66"/>
      <c r="BR563" s="435">
        <f t="shared" si="496"/>
        <v>6.4267364607690947E-2</v>
      </c>
      <c r="BS563" s="66"/>
      <c r="BT563" s="75"/>
      <c r="BU563" s="170"/>
      <c r="BV563" s="1"/>
      <c r="BW563" s="61">
        <f t="shared" si="399"/>
        <v>554</v>
      </c>
    </row>
    <row r="564" spans="2:75" x14ac:dyDescent="0.3">
      <c r="B564" s="158">
        <f t="shared" si="448"/>
        <v>44464</v>
      </c>
      <c r="C564" s="61"/>
      <c r="D564" s="17">
        <v>84779</v>
      </c>
      <c r="E564" s="16"/>
      <c r="F564" s="16"/>
      <c r="G564" s="16"/>
      <c r="H564" s="16">
        <f t="shared" si="473"/>
        <v>41554582</v>
      </c>
      <c r="I564" s="16"/>
      <c r="J564" s="436">
        <f t="shared" si="474"/>
        <v>2.0443550214116041E-3</v>
      </c>
      <c r="K564" s="16"/>
      <c r="L564" s="16"/>
      <c r="M564" s="16"/>
      <c r="N564" s="16">
        <f t="shared" si="475"/>
        <v>720017</v>
      </c>
      <c r="O564" s="16">
        <f t="shared" si="476"/>
        <v>74873.120720720719</v>
      </c>
      <c r="P564" s="41"/>
      <c r="Q564" s="17">
        <f t="shared" si="477"/>
        <v>720017</v>
      </c>
      <c r="R564" s="16"/>
      <c r="S564" s="60">
        <f t="shared" si="478"/>
        <v>-0.12757676840254595</v>
      </c>
      <c r="T564" s="16"/>
      <c r="U564" s="41"/>
      <c r="V564" s="10">
        <f t="shared" si="349"/>
        <v>456</v>
      </c>
      <c r="W564" s="34">
        <v>1195</v>
      </c>
      <c r="X564" s="33">
        <v>4256</v>
      </c>
      <c r="Y564" s="33"/>
      <c r="Z564" s="33">
        <f t="shared" si="479"/>
        <v>10074</v>
      </c>
      <c r="AA564" s="33">
        <f t="shared" si="480"/>
        <v>666444</v>
      </c>
      <c r="AB564" s="33"/>
      <c r="AC564" s="46">
        <f t="shared" si="481"/>
        <v>1.6037798190341561E-2</v>
      </c>
      <c r="AD564" s="33"/>
      <c r="AE564" s="33">
        <f t="shared" si="482"/>
        <v>1200.8</v>
      </c>
      <c r="AF564" s="50"/>
      <c r="AG564" s="33">
        <f t="shared" si="483"/>
        <v>10447</v>
      </c>
      <c r="AH564" s="33">
        <f>SUM(D535:D1307)</f>
        <v>823211900.06091404</v>
      </c>
      <c r="AI564" s="213">
        <f t="shared" si="484"/>
        <v>5.1006036217303825E-2</v>
      </c>
      <c r="AJ564" s="50"/>
      <c r="AK564" s="111"/>
      <c r="AL564" s="23">
        <f t="shared" si="485"/>
        <v>57642</v>
      </c>
      <c r="AM564" s="24"/>
      <c r="AN564" s="24"/>
      <c r="AO564" s="24">
        <v>178263</v>
      </c>
      <c r="AP564" s="24">
        <v>33170635</v>
      </c>
      <c r="AQ564" s="24">
        <v>20336656</v>
      </c>
      <c r="AR564" s="461">
        <f t="shared" si="486"/>
        <v>1.7407668343359961E-3</v>
      </c>
      <c r="AS564" s="25"/>
      <c r="AT564" s="25"/>
      <c r="AU564" s="24"/>
      <c r="AV564" s="298">
        <f t="shared" si="487"/>
        <v>0.79824253797090294</v>
      </c>
      <c r="AW564" s="298"/>
      <c r="AX564" s="24">
        <f t="shared" si="488"/>
        <v>59766.909909909911</v>
      </c>
      <c r="AY564" s="308"/>
      <c r="AZ564" s="111"/>
      <c r="BA564" s="65">
        <f t="shared" si="489"/>
        <v>1512631</v>
      </c>
      <c r="BB564" s="66"/>
      <c r="BC564" s="66">
        <v>632670066</v>
      </c>
      <c r="BD564" s="66"/>
      <c r="BE564" s="66">
        <f t="shared" si="490"/>
        <v>84779</v>
      </c>
      <c r="BF564" s="66"/>
      <c r="BG564" s="144">
        <f t="shared" si="491"/>
        <v>5.6047377053623788E-2</v>
      </c>
      <c r="BH564" s="66"/>
      <c r="BI564" s="170"/>
      <c r="BJ564" s="66"/>
      <c r="BK564" s="66">
        <f t="shared" si="492"/>
        <v>13683009</v>
      </c>
      <c r="BL564" s="66"/>
      <c r="BM564" s="144">
        <f t="shared" si="493"/>
        <v>5.262124727097673E-2</v>
      </c>
      <c r="BN564" s="65">
        <f t="shared" si="494"/>
        <v>1139946.0648648648</v>
      </c>
      <c r="BO564" s="66"/>
      <c r="BP564" s="66">
        <f t="shared" si="495"/>
        <v>40647604</v>
      </c>
      <c r="BQ564" s="66"/>
      <c r="BR564" s="435">
        <f t="shared" si="496"/>
        <v>6.4247711697490051E-2</v>
      </c>
      <c r="BS564" s="66"/>
      <c r="BT564" s="75"/>
      <c r="BU564" s="170"/>
      <c r="BV564" s="1"/>
      <c r="BW564" s="61">
        <f t="shared" si="399"/>
        <v>555</v>
      </c>
    </row>
    <row r="565" spans="2:75" x14ac:dyDescent="0.3">
      <c r="B565" s="347">
        <f t="shared" si="448"/>
        <v>44465</v>
      </c>
      <c r="C565" s="61"/>
      <c r="D565" s="17">
        <v>58622</v>
      </c>
      <c r="E565" s="16"/>
      <c r="F565" s="16"/>
      <c r="G565" s="16"/>
      <c r="H565" s="16">
        <f t="shared" si="473"/>
        <v>41613204</v>
      </c>
      <c r="I565" s="16"/>
      <c r="J565" s="436">
        <f t="shared" si="474"/>
        <v>1.4107228897164699E-3</v>
      </c>
      <c r="K565" s="16"/>
      <c r="L565" s="16"/>
      <c r="M565" s="16"/>
      <c r="N565" s="16">
        <f t="shared" si="475"/>
        <v>742142</v>
      </c>
      <c r="O565" s="16">
        <f t="shared" si="476"/>
        <v>74843.892086330932</v>
      </c>
      <c r="P565" s="41"/>
      <c r="Q565" s="17">
        <f t="shared" si="477"/>
        <v>742142</v>
      </c>
      <c r="R565" s="16"/>
      <c r="S565" s="60">
        <f t="shared" si="478"/>
        <v>-0.10190789903600636</v>
      </c>
      <c r="T565" s="16"/>
      <c r="U565" s="41"/>
      <c r="V565" s="10">
        <f t="shared" si="349"/>
        <v>457</v>
      </c>
      <c r="W565" s="34">
        <v>586</v>
      </c>
      <c r="X565" s="33">
        <v>4256</v>
      </c>
      <c r="Y565" s="33"/>
      <c r="Z565" s="33">
        <f t="shared" si="479"/>
        <v>9914</v>
      </c>
      <c r="AA565" s="33">
        <f t="shared" si="480"/>
        <v>667030</v>
      </c>
      <c r="AB565" s="33"/>
      <c r="AC565" s="46">
        <f t="shared" si="481"/>
        <v>1.60292872425781E-2</v>
      </c>
      <c r="AD565" s="33"/>
      <c r="AE565" s="33">
        <f t="shared" si="482"/>
        <v>1199.6942446043165</v>
      </c>
      <c r="AF565" s="50"/>
      <c r="AG565" s="33">
        <f t="shared" si="483"/>
        <v>10660</v>
      </c>
      <c r="AH565" s="33">
        <f>SUM(D536:D1308)</f>
        <v>823021530.06091404</v>
      </c>
      <c r="AI565" s="213">
        <f t="shared" si="484"/>
        <v>5.9431524547803614E-2</v>
      </c>
      <c r="AJ565" s="50"/>
      <c r="AK565" s="111"/>
      <c r="AL565" s="23">
        <f t="shared" si="485"/>
        <v>34972</v>
      </c>
      <c r="AM565" s="24"/>
      <c r="AN565" s="24"/>
      <c r="AO565" s="24">
        <v>178263</v>
      </c>
      <c r="AP565" s="24">
        <v>33205607</v>
      </c>
      <c r="AQ565" s="24">
        <v>20336656</v>
      </c>
      <c r="AR565" s="461">
        <f t="shared" si="486"/>
        <v>1.0543060149436391E-3</v>
      </c>
      <c r="AS565" s="25"/>
      <c r="AT565" s="25"/>
      <c r="AU565" s="24"/>
      <c r="AV565" s="298">
        <f t="shared" si="487"/>
        <v>0.79795843165549085</v>
      </c>
      <c r="AW565" s="298"/>
      <c r="AX565" s="24">
        <f t="shared" si="488"/>
        <v>59722.314748201439</v>
      </c>
      <c r="AY565" s="308"/>
      <c r="AZ565" s="111"/>
      <c r="BA565" s="65">
        <f t="shared" si="489"/>
        <v>1143749</v>
      </c>
      <c r="BB565" s="66"/>
      <c r="BC565" s="66">
        <v>633813815</v>
      </c>
      <c r="BD565" s="66"/>
      <c r="BE565" s="66">
        <f t="shared" si="490"/>
        <v>58622</v>
      </c>
      <c r="BF565" s="66"/>
      <c r="BG565" s="144">
        <f t="shared" si="491"/>
        <v>5.1254252462734393E-2</v>
      </c>
      <c r="BH565" s="66"/>
      <c r="BI565" s="170"/>
      <c r="BJ565" s="66"/>
      <c r="BK565" s="66">
        <f t="shared" si="492"/>
        <v>13888514</v>
      </c>
      <c r="BL565" s="66"/>
      <c r="BM565" s="144">
        <f t="shared" si="493"/>
        <v>5.3435666335505727E-2</v>
      </c>
      <c r="BN565" s="65">
        <f t="shared" si="494"/>
        <v>1139952.904676259</v>
      </c>
      <c r="BO565" s="66"/>
      <c r="BP565" s="66">
        <f t="shared" si="495"/>
        <v>40706226</v>
      </c>
      <c r="BQ565" s="66"/>
      <c r="BR565" s="435">
        <f t="shared" si="496"/>
        <v>6.4224264344884943E-2</v>
      </c>
      <c r="BS565" s="66"/>
      <c r="BT565" s="75"/>
      <c r="BU565" s="170"/>
      <c r="BV565" s="1"/>
      <c r="BW565" s="61">
        <f t="shared" si="399"/>
        <v>556</v>
      </c>
    </row>
    <row r="566" spans="2:75" x14ac:dyDescent="0.3">
      <c r="B566" s="158">
        <f t="shared" si="448"/>
        <v>44466</v>
      </c>
      <c r="C566" s="61"/>
      <c r="D566" s="17">
        <v>81409</v>
      </c>
      <c r="E566" s="16"/>
      <c r="F566" s="16"/>
      <c r="G566" s="16"/>
      <c r="H566" s="16">
        <f t="shared" si="473"/>
        <v>41694613</v>
      </c>
      <c r="I566" s="16"/>
      <c r="J566" s="436">
        <f t="shared" si="474"/>
        <v>1.9563261699339471E-3</v>
      </c>
      <c r="K566" s="16"/>
      <c r="L566" s="16"/>
      <c r="M566" s="16"/>
      <c r="N566" s="16">
        <f t="shared" si="475"/>
        <v>737479</v>
      </c>
      <c r="O566" s="16">
        <f t="shared" si="476"/>
        <v>74855.678635547578</v>
      </c>
      <c r="P566" s="41"/>
      <c r="Q566" s="17">
        <f t="shared" si="477"/>
        <v>737479</v>
      </c>
      <c r="R566" s="16"/>
      <c r="S566" s="60">
        <f t="shared" si="478"/>
        <v>-8.1588405392817379E-2</v>
      </c>
      <c r="T566" s="16"/>
      <c r="U566" s="41"/>
      <c r="V566" s="10">
        <f t="shared" si="349"/>
        <v>458</v>
      </c>
      <c r="W566" s="34">
        <v>689</v>
      </c>
      <c r="X566" s="33">
        <v>4256</v>
      </c>
      <c r="Y566" s="33"/>
      <c r="Z566" s="33">
        <f t="shared" si="479"/>
        <v>8676</v>
      </c>
      <c r="AA566" s="33">
        <f t="shared" si="480"/>
        <v>667719</v>
      </c>
      <c r="AB566" s="33"/>
      <c r="AC566" s="46">
        <f t="shared" si="481"/>
        <v>1.60145148727007E-2</v>
      </c>
      <c r="AD566" s="33"/>
      <c r="AE566" s="33">
        <f t="shared" si="482"/>
        <v>1198.7773788150807</v>
      </c>
      <c r="AF566" s="50"/>
      <c r="AG566" s="33">
        <f t="shared" si="483"/>
        <v>10603</v>
      </c>
      <c r="AH566" s="33">
        <f>SUM(D537:D1309)</f>
        <v>822948745.06091404</v>
      </c>
      <c r="AI566" s="213">
        <f t="shared" si="484"/>
        <v>6.1042729910937656E-2</v>
      </c>
      <c r="AJ566" s="50"/>
      <c r="AK566" s="111"/>
      <c r="AL566" s="23">
        <f t="shared" si="485"/>
        <v>189226</v>
      </c>
      <c r="AM566" s="24"/>
      <c r="AN566" s="24"/>
      <c r="AO566" s="24">
        <v>178263</v>
      </c>
      <c r="AP566" s="24">
        <v>33394833</v>
      </c>
      <c r="AQ566" s="24">
        <v>20336656</v>
      </c>
      <c r="AR566" s="461">
        <f t="shared" si="486"/>
        <v>5.698615899417228E-3</v>
      </c>
      <c r="AS566" s="25"/>
      <c r="AT566" s="25"/>
      <c r="AU566" s="24"/>
      <c r="AV566" s="298">
        <f t="shared" si="487"/>
        <v>0.80093879274044344</v>
      </c>
      <c r="AW566" s="298"/>
      <c r="AX566" s="24">
        <f t="shared" si="488"/>
        <v>59954.81687612208</v>
      </c>
      <c r="AY566" s="308"/>
      <c r="AZ566" s="111"/>
      <c r="BA566" s="65">
        <f t="shared" si="489"/>
        <v>2710122</v>
      </c>
      <c r="BB566" s="66"/>
      <c r="BC566" s="66">
        <v>636523937</v>
      </c>
      <c r="BD566" s="66"/>
      <c r="BE566" s="66">
        <f t="shared" si="490"/>
        <v>81409</v>
      </c>
      <c r="BF566" s="66"/>
      <c r="BG566" s="144">
        <f t="shared" si="491"/>
        <v>3.0038869098881895E-2</v>
      </c>
      <c r="BH566" s="66"/>
      <c r="BI566" s="170"/>
      <c r="BJ566" s="66"/>
      <c r="BK566" s="66">
        <f t="shared" si="492"/>
        <v>13351756</v>
      </c>
      <c r="BL566" s="66"/>
      <c r="BM566" s="144">
        <f t="shared" si="493"/>
        <v>5.5234607343034127E-2</v>
      </c>
      <c r="BN566" s="65">
        <f t="shared" si="494"/>
        <v>1142771.8797127469</v>
      </c>
      <c r="BO566" s="66"/>
      <c r="BP566" s="66">
        <f t="shared" si="495"/>
        <v>40787635</v>
      </c>
      <c r="BQ566" s="66"/>
      <c r="BR566" s="435">
        <f t="shared" si="496"/>
        <v>6.4078713507988619E-2</v>
      </c>
      <c r="BS566" s="66"/>
      <c r="BT566" s="75"/>
      <c r="BU566" s="170"/>
      <c r="BV566" s="1"/>
      <c r="BW566" s="61">
        <f t="shared" si="399"/>
        <v>557</v>
      </c>
    </row>
    <row r="567" spans="2:75" x14ac:dyDescent="0.3">
      <c r="B567" s="158">
        <f t="shared" si="448"/>
        <v>44467</v>
      </c>
      <c r="C567" s="61"/>
      <c r="D567" s="17">
        <v>105633</v>
      </c>
      <c r="E567" s="16"/>
      <c r="F567" s="16"/>
      <c r="G567" s="16"/>
      <c r="H567" s="16">
        <f t="shared" si="473"/>
        <v>41800246</v>
      </c>
      <c r="I567" s="16"/>
      <c r="J567" s="436">
        <f t="shared" si="474"/>
        <v>2.5334927560066332E-3</v>
      </c>
      <c r="K567" s="16"/>
      <c r="L567" s="16"/>
      <c r="M567" s="16"/>
      <c r="N567" s="16">
        <f t="shared" si="475"/>
        <v>722533</v>
      </c>
      <c r="O567" s="16">
        <f t="shared" si="476"/>
        <v>74910.835125448022</v>
      </c>
      <c r="P567" s="41"/>
      <c r="Q567" s="17">
        <f t="shared" si="477"/>
        <v>722533</v>
      </c>
      <c r="R567" s="16"/>
      <c r="S567" s="60">
        <f t="shared" si="478"/>
        <v>-7.5470177117748366E-2</v>
      </c>
      <c r="T567" s="16"/>
      <c r="U567" s="41"/>
      <c r="V567" s="10">
        <f t="shared" si="349"/>
        <v>459</v>
      </c>
      <c r="W567" s="34">
        <v>1836</v>
      </c>
      <c r="X567" s="33">
        <v>4256</v>
      </c>
      <c r="Y567" s="33"/>
      <c r="Z567" s="33">
        <f t="shared" si="479"/>
        <v>8284</v>
      </c>
      <c r="AA567" s="33">
        <f t="shared" si="480"/>
        <v>669555</v>
      </c>
      <c r="AB567" s="33"/>
      <c r="AC567" s="46">
        <f t="shared" si="481"/>
        <v>1.6017967932533218E-2</v>
      </c>
      <c r="AD567" s="33"/>
      <c r="AE567" s="33">
        <f t="shared" si="482"/>
        <v>1199.9193548387098</v>
      </c>
      <c r="AF567" s="50"/>
      <c r="AG567" s="33">
        <f t="shared" si="483"/>
        <v>10512</v>
      </c>
      <c r="AH567" s="33">
        <f>SUM(D538:D1310)</f>
        <v>822911483.06091404</v>
      </c>
      <c r="AI567" s="213">
        <f t="shared" si="484"/>
        <v>5.2673743240536752E-2</v>
      </c>
      <c r="AJ567" s="50"/>
      <c r="AK567" s="111"/>
      <c r="AL567" s="23">
        <f t="shared" si="485"/>
        <v>126125</v>
      </c>
      <c r="AM567" s="24"/>
      <c r="AN567" s="24"/>
      <c r="AO567" s="24">
        <v>178263</v>
      </c>
      <c r="AP567" s="24">
        <v>33520958</v>
      </c>
      <c r="AQ567" s="24">
        <v>20336656</v>
      </c>
      <c r="AR567" s="461">
        <f t="shared" si="486"/>
        <v>3.77678187520806E-3</v>
      </c>
      <c r="AS567" s="25"/>
      <c r="AT567" s="25"/>
      <c r="AU567" s="24"/>
      <c r="AV567" s="298">
        <f t="shared" si="487"/>
        <v>0.80193207475381845</v>
      </c>
      <c r="AW567" s="298"/>
      <c r="AX567" s="24">
        <f t="shared" si="488"/>
        <v>60073.401433691753</v>
      </c>
      <c r="AY567" s="308"/>
      <c r="AZ567" s="111"/>
      <c r="BA567" s="65">
        <f t="shared" si="489"/>
        <v>1525802</v>
      </c>
      <c r="BB567" s="66"/>
      <c r="BC567" s="66">
        <v>638049739</v>
      </c>
      <c r="BD567" s="66"/>
      <c r="BE567" s="66">
        <f t="shared" si="490"/>
        <v>105633</v>
      </c>
      <c r="BF567" s="66"/>
      <c r="BG567" s="144">
        <f t="shared" si="491"/>
        <v>6.9231132217679625E-2</v>
      </c>
      <c r="BH567" s="66"/>
      <c r="BI567" s="170"/>
      <c r="BJ567" s="66"/>
      <c r="BK567" s="66">
        <f t="shared" si="492"/>
        <v>13037197</v>
      </c>
      <c r="BL567" s="66"/>
      <c r="BM567" s="144">
        <f t="shared" si="493"/>
        <v>5.5420885332943884E-2</v>
      </c>
      <c r="BN567" s="65">
        <f t="shared" si="494"/>
        <v>1143458.3136200716</v>
      </c>
      <c r="BO567" s="66"/>
      <c r="BP567" s="66">
        <f t="shared" si="495"/>
        <v>40893268</v>
      </c>
      <c r="BQ567" s="66"/>
      <c r="BR567" s="435">
        <f t="shared" si="496"/>
        <v>6.4091034758655394E-2</v>
      </c>
      <c r="BS567" s="66"/>
      <c r="BT567" s="75"/>
      <c r="BU567" s="170"/>
      <c r="BV567" s="1"/>
      <c r="BW567" s="61">
        <f t="shared" si="399"/>
        <v>558</v>
      </c>
    </row>
    <row r="568" spans="2:75" x14ac:dyDescent="0.3">
      <c r="B568" s="158">
        <f t="shared" si="448"/>
        <v>44468</v>
      </c>
      <c r="C568" s="61"/>
      <c r="D568" s="17">
        <v>123276</v>
      </c>
      <c r="E568" s="16"/>
      <c r="F568" s="16"/>
      <c r="G568" s="16"/>
      <c r="H568" s="16">
        <f t="shared" si="473"/>
        <v>41923522</v>
      </c>
      <c r="I568" s="16"/>
      <c r="J568" s="436">
        <f t="shared" si="474"/>
        <v>2.9491692465159177E-3</v>
      </c>
      <c r="K568" s="16"/>
      <c r="L568" s="16"/>
      <c r="M568" s="16"/>
      <c r="N568" s="16">
        <f t="shared" si="475"/>
        <v>712189</v>
      </c>
      <c r="O568" s="16">
        <f t="shared" si="476"/>
        <v>74997.355992844372</v>
      </c>
      <c r="P568" s="41"/>
      <c r="Q568" s="17">
        <f t="shared" si="477"/>
        <v>712189</v>
      </c>
      <c r="R568" s="16"/>
      <c r="S568" s="60">
        <f t="shared" si="478"/>
        <v>-5.1205328892589511E-2</v>
      </c>
      <c r="T568" s="16"/>
      <c r="U568" s="41"/>
      <c r="V568" s="10">
        <f t="shared" si="349"/>
        <v>460</v>
      </c>
      <c r="W568" s="34">
        <v>2190</v>
      </c>
      <c r="X568" s="33">
        <v>4256</v>
      </c>
      <c r="Y568" s="33"/>
      <c r="Z568" s="33">
        <f t="shared" si="479"/>
        <v>8500</v>
      </c>
      <c r="AA568" s="33">
        <f t="shared" si="480"/>
        <v>671745</v>
      </c>
      <c r="AB568" s="33"/>
      <c r="AC568" s="46">
        <f t="shared" si="481"/>
        <v>1.6023105119841792E-2</v>
      </c>
      <c r="AD568" s="33"/>
      <c r="AE568" s="33">
        <f t="shared" si="482"/>
        <v>1201.6905187835421</v>
      </c>
      <c r="AF568" s="50"/>
      <c r="AG568" s="33">
        <f t="shared" si="483"/>
        <v>10474</v>
      </c>
      <c r="AH568" s="33">
        <f>SUM(D539:D1311)</f>
        <v>822791841.06091404</v>
      </c>
      <c r="AI568" s="213">
        <f t="shared" si="484"/>
        <v>5.4571083366894882E-2</v>
      </c>
      <c r="AJ568" s="50"/>
      <c r="AK568" s="111"/>
      <c r="AL568" s="23">
        <f t="shared" si="485"/>
        <v>113744</v>
      </c>
      <c r="AM568" s="24"/>
      <c r="AN568" s="24"/>
      <c r="AO568" s="24">
        <v>178263</v>
      </c>
      <c r="AP568" s="24">
        <v>33634702</v>
      </c>
      <c r="AQ568" s="24">
        <v>20336656</v>
      </c>
      <c r="AR568" s="461">
        <f t="shared" si="486"/>
        <v>3.3932204443560352E-3</v>
      </c>
      <c r="AS568" s="25"/>
      <c r="AT568" s="25"/>
      <c r="AU568" s="24"/>
      <c r="AV568" s="298">
        <f t="shared" si="487"/>
        <v>0.80228712654437762</v>
      </c>
      <c r="AW568" s="298"/>
      <c r="AX568" s="24">
        <f t="shared" si="488"/>
        <v>60169.413237924869</v>
      </c>
      <c r="AY568" s="308"/>
      <c r="AZ568" s="111"/>
      <c r="BA568" s="65">
        <f t="shared" si="489"/>
        <v>1783117</v>
      </c>
      <c r="BB568" s="66"/>
      <c r="BC568" s="66">
        <v>639832856</v>
      </c>
      <c r="BD568" s="66"/>
      <c r="BE568" s="66">
        <f t="shared" si="490"/>
        <v>123276</v>
      </c>
      <c r="BF568" s="66"/>
      <c r="BG568" s="144">
        <f t="shared" si="491"/>
        <v>6.9135115643000428E-2</v>
      </c>
      <c r="BH568" s="66"/>
      <c r="BI568" s="170"/>
      <c r="BJ568" s="66"/>
      <c r="BK568" s="66">
        <f t="shared" si="492"/>
        <v>12779224</v>
      </c>
      <c r="BL568" s="66"/>
      <c r="BM568" s="144">
        <f t="shared" si="493"/>
        <v>5.5730222742789388E-2</v>
      </c>
      <c r="BN568" s="65">
        <f t="shared" si="494"/>
        <v>1144602.6046511629</v>
      </c>
      <c r="BO568" s="66"/>
      <c r="BP568" s="66">
        <f t="shared" si="495"/>
        <v>41016544</v>
      </c>
      <c r="BQ568" s="66"/>
      <c r="BR568" s="435">
        <f t="shared" si="496"/>
        <v>6.4105091846049247E-2</v>
      </c>
      <c r="BS568" s="66"/>
      <c r="BT568" s="75"/>
      <c r="BU568" s="170"/>
      <c r="BV568" s="1"/>
      <c r="BW568" s="61">
        <f t="shared" si="399"/>
        <v>559</v>
      </c>
    </row>
    <row r="569" spans="2:75" x14ac:dyDescent="0.3">
      <c r="B569" s="158">
        <f t="shared" si="448"/>
        <v>44469</v>
      </c>
      <c r="C569" s="61"/>
      <c r="D569" s="17">
        <v>113922</v>
      </c>
      <c r="E569" s="16"/>
      <c r="F569" s="16"/>
      <c r="G569" s="16"/>
      <c r="H569" s="16">
        <f t="shared" si="473"/>
        <v>42037444</v>
      </c>
      <c r="I569" s="16"/>
      <c r="J569" s="436">
        <f t="shared" si="474"/>
        <v>2.7173766555204973E-3</v>
      </c>
      <c r="K569" s="16"/>
      <c r="L569" s="16"/>
      <c r="M569" s="16"/>
      <c r="N569" s="16">
        <f t="shared" si="475"/>
        <v>698648</v>
      </c>
      <c r="O569" s="16">
        <f t="shared" si="476"/>
        <v>75066.864285714284</v>
      </c>
      <c r="P569" s="41"/>
      <c r="Q569" s="17">
        <f t="shared" si="477"/>
        <v>698648</v>
      </c>
      <c r="R569" s="16"/>
      <c r="S569" s="60">
        <f t="shared" si="478"/>
        <v>-3.8927238061699218E-2</v>
      </c>
      <c r="T569" s="16"/>
      <c r="U569" s="41"/>
      <c r="V569" s="10">
        <f t="shared" si="349"/>
        <v>461</v>
      </c>
      <c r="W569" s="34">
        <v>1812</v>
      </c>
      <c r="X569" s="33">
        <v>4256</v>
      </c>
      <c r="Y569" s="33"/>
      <c r="Z569" s="33">
        <f t="shared" si="479"/>
        <v>8308</v>
      </c>
      <c r="AA569" s="33">
        <f t="shared" si="480"/>
        <v>673557</v>
      </c>
      <c r="AB569" s="33"/>
      <c r="AC569" s="46">
        <f t="shared" si="481"/>
        <v>1.6022786732704301E-2</v>
      </c>
      <c r="AD569" s="33"/>
      <c r="AE569" s="33">
        <f t="shared" si="482"/>
        <v>1202.7803571428572</v>
      </c>
      <c r="AF569" s="50"/>
      <c r="AG569" s="33">
        <f t="shared" si="483"/>
        <v>10312</v>
      </c>
      <c r="AH569" s="33">
        <f>SUM(D540:D1312)</f>
        <v>822633175.06091404</v>
      </c>
      <c r="AI569" s="213">
        <f t="shared" si="484"/>
        <v>2.7603388141504735E-2</v>
      </c>
      <c r="AJ569" s="50"/>
      <c r="AK569" s="111"/>
      <c r="AL569" s="23">
        <f t="shared" si="485"/>
        <v>86996</v>
      </c>
      <c r="AM569" s="24"/>
      <c r="AN569" s="24"/>
      <c r="AO569" s="24">
        <v>178263</v>
      </c>
      <c r="AP569" s="24">
        <v>33721698</v>
      </c>
      <c r="AQ569" s="24">
        <v>20336656</v>
      </c>
      <c r="AR569" s="461">
        <f t="shared" si="486"/>
        <v>2.5864953404373852E-3</v>
      </c>
      <c r="AS569" s="25"/>
      <c r="AT569" s="25"/>
      <c r="AU569" s="24"/>
      <c r="AV569" s="298">
        <f t="shared" si="487"/>
        <v>0.80218240671340535</v>
      </c>
      <c r="AW569" s="298"/>
      <c r="AX569" s="24">
        <f t="shared" si="488"/>
        <v>60217.317857142858</v>
      </c>
      <c r="AY569" s="308"/>
      <c r="AZ569" s="111"/>
      <c r="BA569" s="65">
        <f t="shared" si="489"/>
        <v>2018518</v>
      </c>
      <c r="BB569" s="66"/>
      <c r="BC569" s="66">
        <v>641851374</v>
      </c>
      <c r="BD569" s="66"/>
      <c r="BE569" s="66">
        <f t="shared" si="490"/>
        <v>113922</v>
      </c>
      <c r="BF569" s="66"/>
      <c r="BG569" s="144">
        <f t="shared" si="491"/>
        <v>5.6438436516295619E-2</v>
      </c>
      <c r="BH569" s="66"/>
      <c r="BI569" s="170"/>
      <c r="BJ569" s="66"/>
      <c r="BK569" s="66">
        <f t="shared" si="492"/>
        <v>12833144</v>
      </c>
      <c r="BL569" s="66"/>
      <c r="BM569" s="144">
        <f t="shared" si="493"/>
        <v>5.4440907076239463E-2</v>
      </c>
      <c r="BN569" s="65">
        <f t="shared" si="494"/>
        <v>1146163.1678571429</v>
      </c>
      <c r="BO569" s="66"/>
      <c r="BP569" s="66">
        <f t="shared" si="495"/>
        <v>41130466</v>
      </c>
      <c r="BQ569" s="66"/>
      <c r="BR569" s="435">
        <f t="shared" si="496"/>
        <v>6.4080981464098255E-2</v>
      </c>
      <c r="BS569" s="66"/>
      <c r="BT569" s="75"/>
      <c r="BU569" s="170"/>
      <c r="BV569" s="1"/>
      <c r="BW569" s="61">
        <f t="shared" si="399"/>
        <v>560</v>
      </c>
    </row>
    <row r="570" spans="2:75" x14ac:dyDescent="0.3">
      <c r="B570" s="158">
        <f t="shared" si="448"/>
        <v>44470</v>
      </c>
      <c r="C570" s="61"/>
      <c r="D570" s="17">
        <v>120876</v>
      </c>
      <c r="E570" s="16"/>
      <c r="F570" s="16"/>
      <c r="G570" s="16"/>
      <c r="H570" s="16">
        <f t="shared" si="473"/>
        <v>42158320</v>
      </c>
      <c r="I570" s="16"/>
      <c r="J570" s="436">
        <f t="shared" si="474"/>
        <v>2.8754364799153821E-3</v>
      </c>
      <c r="K570" s="16"/>
      <c r="L570" s="16"/>
      <c r="M570" s="16"/>
      <c r="N570" s="16">
        <f t="shared" si="475"/>
        <v>688517</v>
      </c>
      <c r="O570" s="16">
        <f t="shared" si="476"/>
        <v>75148.520499108738</v>
      </c>
      <c r="P570" s="41"/>
      <c r="Q570" s="17">
        <f t="shared" si="477"/>
        <v>688517</v>
      </c>
      <c r="R570" s="16"/>
      <c r="S570" s="60">
        <f t="shared" si="478"/>
        <v>-1.6118960212747412E-2</v>
      </c>
      <c r="T570" s="16"/>
      <c r="U570" s="41"/>
      <c r="V570" s="10">
        <f t="shared" si="349"/>
        <v>462</v>
      </c>
      <c r="W570" s="34">
        <v>1821</v>
      </c>
      <c r="X570" s="33">
        <v>4256</v>
      </c>
      <c r="Y570" s="33"/>
      <c r="Z570" s="33">
        <f t="shared" si="479"/>
        <v>8934</v>
      </c>
      <c r="AA570" s="33">
        <f t="shared" si="480"/>
        <v>675378</v>
      </c>
      <c r="AB570" s="33"/>
      <c r="AC570" s="46">
        <f t="shared" si="481"/>
        <v>1.6020040646780993E-2</v>
      </c>
      <c r="AD570" s="33"/>
      <c r="AE570" s="33">
        <f t="shared" si="482"/>
        <v>1203.8823529411766</v>
      </c>
      <c r="AF570" s="50"/>
      <c r="AG570" s="33">
        <f t="shared" si="483"/>
        <v>10129</v>
      </c>
      <c r="AH570" s="33">
        <f>SUM(D541:D1313)</f>
        <v>822448755.06091404</v>
      </c>
      <c r="AI570" s="213">
        <f t="shared" si="484"/>
        <v>2.772002772002772E-3</v>
      </c>
      <c r="AJ570" s="50"/>
      <c r="AK570" s="111"/>
      <c r="AL570" s="23">
        <f t="shared" si="485"/>
        <v>94796</v>
      </c>
      <c r="AM570" s="24"/>
      <c r="AN570" s="24"/>
      <c r="AO570" s="24">
        <v>178263</v>
      </c>
      <c r="AP570" s="24">
        <v>33816494</v>
      </c>
      <c r="AQ570" s="24">
        <v>20336656</v>
      </c>
      <c r="AR570" s="461">
        <f t="shared" si="486"/>
        <v>2.8111277196065276E-3</v>
      </c>
      <c r="AS570" s="25"/>
      <c r="AT570" s="25"/>
      <c r="AU570" s="24"/>
      <c r="AV570" s="298">
        <f t="shared" si="487"/>
        <v>0.80213096726814537</v>
      </c>
      <c r="AW570" s="298"/>
      <c r="AX570" s="24">
        <f t="shared" si="488"/>
        <v>60278.955436720142</v>
      </c>
      <c r="AY570" s="308"/>
      <c r="AZ570" s="111"/>
      <c r="BA570" s="65">
        <f t="shared" si="489"/>
        <v>1915333</v>
      </c>
      <c r="BB570" s="66"/>
      <c r="BC570" s="66">
        <v>643766707</v>
      </c>
      <c r="BD570" s="66"/>
      <c r="BE570" s="66">
        <f t="shared" si="490"/>
        <v>120876</v>
      </c>
      <c r="BF570" s="66"/>
      <c r="BG570" s="144">
        <f t="shared" si="491"/>
        <v>6.3109652472964226E-2</v>
      </c>
      <c r="BH570" s="66"/>
      <c r="BI570" s="170"/>
      <c r="BJ570" s="66"/>
      <c r="BK570" s="66">
        <f t="shared" si="492"/>
        <v>12609272</v>
      </c>
      <c r="BL570" s="66"/>
      <c r="BM570" s="144">
        <f t="shared" si="493"/>
        <v>5.4604024720856209E-2</v>
      </c>
      <c r="BN570" s="65">
        <f t="shared" si="494"/>
        <v>1147534.2370766487</v>
      </c>
      <c r="BO570" s="66"/>
      <c r="BP570" s="66">
        <f t="shared" si="495"/>
        <v>41251342</v>
      </c>
      <c r="BQ570" s="66"/>
      <c r="BR570" s="435">
        <f t="shared" si="496"/>
        <v>6.4078091568658888E-2</v>
      </c>
      <c r="BS570" s="66"/>
      <c r="BT570" s="75"/>
      <c r="BU570" s="170"/>
      <c r="BV570" s="1"/>
      <c r="BW570" s="61">
        <f t="shared" si="399"/>
        <v>561</v>
      </c>
    </row>
    <row r="571" spans="2:75" x14ac:dyDescent="0.3">
      <c r="B571" s="158">
        <f t="shared" si="448"/>
        <v>44471</v>
      </c>
      <c r="C571" s="61"/>
      <c r="D571" s="17">
        <v>46482</v>
      </c>
      <c r="E571" s="16"/>
      <c r="F571" s="16"/>
      <c r="G571" s="16"/>
      <c r="H571" s="16">
        <f t="shared" si="473"/>
        <v>42204802</v>
      </c>
      <c r="I571" s="16"/>
      <c r="J571" s="436">
        <f t="shared" si="474"/>
        <v>1.1025581664544507E-3</v>
      </c>
      <c r="K571" s="16"/>
      <c r="L571" s="16"/>
      <c r="M571" s="16"/>
      <c r="N571" s="16">
        <f t="shared" si="475"/>
        <v>650220</v>
      </c>
      <c r="O571" s="16">
        <f t="shared" si="476"/>
        <v>75097.512455516015</v>
      </c>
      <c r="P571" s="41"/>
      <c r="Q571" s="17">
        <f t="shared" si="477"/>
        <v>650220</v>
      </c>
      <c r="R571" s="16"/>
      <c r="S571" s="60">
        <f t="shared" si="478"/>
        <v>-9.6937988964149457E-2</v>
      </c>
      <c r="T571" s="16"/>
      <c r="U571" s="41"/>
      <c r="V571" s="10">
        <f t="shared" si="349"/>
        <v>463</v>
      </c>
      <c r="W571" s="34">
        <v>690</v>
      </c>
      <c r="X571" s="33">
        <v>4256</v>
      </c>
      <c r="Y571" s="33"/>
      <c r="Z571" s="33">
        <f t="shared" si="479"/>
        <v>9038</v>
      </c>
      <c r="AA571" s="33">
        <f t="shared" si="480"/>
        <v>676068</v>
      </c>
      <c r="AB571" s="33"/>
      <c r="AC571" s="46">
        <f t="shared" si="481"/>
        <v>1.6018745923745834E-2</v>
      </c>
      <c r="AD571" s="33"/>
      <c r="AE571" s="33">
        <f t="shared" si="482"/>
        <v>1202.9679715302491</v>
      </c>
      <c r="AF571" s="50"/>
      <c r="AG571" s="33">
        <f t="shared" si="483"/>
        <v>9624</v>
      </c>
      <c r="AH571" s="33">
        <f>SUM(D542:D1314)</f>
        <v>822271187.06091404</v>
      </c>
      <c r="AI571" s="213">
        <f t="shared" si="484"/>
        <v>-7.8778596726332917E-2</v>
      </c>
      <c r="AJ571" s="50"/>
      <c r="AK571" s="111"/>
      <c r="AL571" s="23">
        <f t="shared" si="485"/>
        <v>101465</v>
      </c>
      <c r="AM571" s="24"/>
      <c r="AN571" s="24"/>
      <c r="AO571" s="24">
        <v>178263</v>
      </c>
      <c r="AP571" s="24">
        <v>33917959</v>
      </c>
      <c r="AQ571" s="24">
        <v>20336656</v>
      </c>
      <c r="AR571" s="461">
        <f t="shared" si="486"/>
        <v>3.000458888493881E-3</v>
      </c>
      <c r="AS571" s="25"/>
      <c r="AT571" s="25"/>
      <c r="AU571" s="24"/>
      <c r="AV571" s="298">
        <f t="shared" si="487"/>
        <v>0.80365165556279594</v>
      </c>
      <c r="AW571" s="298"/>
      <c r="AX571" s="24">
        <f t="shared" si="488"/>
        <v>60352.240213523131</v>
      </c>
      <c r="AY571" s="308"/>
      <c r="AZ571" s="111"/>
      <c r="BA571" s="65">
        <f t="shared" si="489"/>
        <v>573593</v>
      </c>
      <c r="BB571" s="66"/>
      <c r="BC571" s="66">
        <v>644340300</v>
      </c>
      <c r="BD571" s="66"/>
      <c r="BE571" s="66">
        <f t="shared" si="490"/>
        <v>46482</v>
      </c>
      <c r="BF571" s="66"/>
      <c r="BG571" s="144">
        <f t="shared" si="491"/>
        <v>8.1036553793369159E-2</v>
      </c>
      <c r="BH571" s="66"/>
      <c r="BI571" s="170"/>
      <c r="BJ571" s="66"/>
      <c r="BK571" s="66">
        <f t="shared" si="492"/>
        <v>11670234</v>
      </c>
      <c r="BL571" s="66"/>
      <c r="BM571" s="144">
        <f t="shared" si="493"/>
        <v>5.5716106463675023E-2</v>
      </c>
      <c r="BN571" s="65">
        <f t="shared" si="494"/>
        <v>1146512.9893238435</v>
      </c>
      <c r="BO571" s="66"/>
      <c r="BP571" s="66">
        <f t="shared" si="495"/>
        <v>41297824</v>
      </c>
      <c r="BQ571" s="66"/>
      <c r="BR571" s="435">
        <f t="shared" si="496"/>
        <v>6.4093188025023423E-2</v>
      </c>
      <c r="BS571" s="66"/>
      <c r="BT571" s="75"/>
      <c r="BU571" s="170"/>
      <c r="BV571" s="1"/>
      <c r="BW571" s="61">
        <f t="shared" si="399"/>
        <v>562</v>
      </c>
    </row>
    <row r="572" spans="2:75" x14ac:dyDescent="0.3">
      <c r="B572" s="347">
        <f t="shared" si="448"/>
        <v>44472</v>
      </c>
      <c r="C572" s="61"/>
      <c r="D572" s="17">
        <v>26933</v>
      </c>
      <c r="E572" s="16"/>
      <c r="F572" s="16"/>
      <c r="G572" s="16"/>
      <c r="H572" s="16">
        <f t="shared" si="473"/>
        <v>42231735</v>
      </c>
      <c r="I572" s="16"/>
      <c r="J572" s="436">
        <f t="shared" si="474"/>
        <v>6.38150132773991E-4</v>
      </c>
      <c r="K572" s="16"/>
      <c r="L572" s="16"/>
      <c r="M572" s="16"/>
      <c r="N572" s="16">
        <f t="shared" si="475"/>
        <v>618531</v>
      </c>
      <c r="O572" s="16">
        <f t="shared" si="476"/>
        <v>75011.962699822383</v>
      </c>
      <c r="P572" s="41"/>
      <c r="Q572" s="17">
        <f t="shared" si="477"/>
        <v>618531</v>
      </c>
      <c r="R572" s="16"/>
      <c r="S572" s="60">
        <f t="shared" si="478"/>
        <v>-0.16655976888519985</v>
      </c>
      <c r="T572" s="16"/>
      <c r="U572" s="41"/>
      <c r="V572" s="10">
        <f t="shared" si="349"/>
        <v>464</v>
      </c>
      <c r="W572" s="34">
        <v>259</v>
      </c>
      <c r="X572" s="33">
        <v>4256</v>
      </c>
      <c r="Y572" s="33"/>
      <c r="Z572" s="33">
        <f t="shared" si="479"/>
        <v>8608</v>
      </c>
      <c r="AA572" s="33">
        <f t="shared" si="480"/>
        <v>676327</v>
      </c>
      <c r="AB572" s="33"/>
      <c r="AC572" s="46">
        <f t="shared" si="481"/>
        <v>1.6014662906934797E-2</v>
      </c>
      <c r="AD572" s="33"/>
      <c r="AE572" s="33">
        <f t="shared" si="482"/>
        <v>1201.291296625222</v>
      </c>
      <c r="AF572" s="50"/>
      <c r="AG572" s="33">
        <f t="shared" si="483"/>
        <v>9297</v>
      </c>
      <c r="AH572" s="33">
        <f>SUM(D543:D1315)</f>
        <v>822088594.06091404</v>
      </c>
      <c r="AI572" s="213">
        <f t="shared" si="484"/>
        <v>-0.12786116322701688</v>
      </c>
      <c r="AJ572" s="50"/>
      <c r="AK572" s="111"/>
      <c r="AL572" s="23">
        <f t="shared" si="485"/>
        <v>20188</v>
      </c>
      <c r="AM572" s="24"/>
      <c r="AN572" s="24"/>
      <c r="AO572" s="24">
        <v>178263</v>
      </c>
      <c r="AP572" s="24">
        <v>33938147</v>
      </c>
      <c r="AQ572" s="24">
        <v>20336656</v>
      </c>
      <c r="AR572" s="461">
        <f t="shared" si="486"/>
        <v>5.9520090816785293E-4</v>
      </c>
      <c r="AS572" s="25"/>
      <c r="AT572" s="25"/>
      <c r="AU572" s="24"/>
      <c r="AV572" s="298">
        <f t="shared" si="487"/>
        <v>0.80361716135981631</v>
      </c>
      <c r="AW572" s="298"/>
      <c r="AX572" s="24">
        <f t="shared" si="488"/>
        <v>60280.900532859683</v>
      </c>
      <c r="AY572" s="308"/>
      <c r="AZ572" s="111"/>
      <c r="BA572" s="65">
        <f t="shared" si="489"/>
        <v>408356</v>
      </c>
      <c r="BB572" s="66"/>
      <c r="BC572" s="66">
        <v>644748656</v>
      </c>
      <c r="BD572" s="66"/>
      <c r="BE572" s="66">
        <f t="shared" si="490"/>
        <v>26933</v>
      </c>
      <c r="BF572" s="66"/>
      <c r="BG572" s="144">
        <f t="shared" si="491"/>
        <v>6.5954706187738146E-2</v>
      </c>
      <c r="BH572" s="66"/>
      <c r="BI572" s="170"/>
      <c r="BJ572" s="66"/>
      <c r="BK572" s="66">
        <f t="shared" si="492"/>
        <v>10934841</v>
      </c>
      <c r="BL572" s="66"/>
      <c r="BM572" s="144">
        <f t="shared" si="493"/>
        <v>5.656515718884253E-2</v>
      </c>
      <c r="BN572" s="65">
        <f t="shared" si="494"/>
        <v>1145201.8756660747</v>
      </c>
      <c r="BO572" s="66"/>
      <c r="BP572" s="66">
        <f t="shared" si="495"/>
        <v>41324757</v>
      </c>
      <c r="BQ572" s="66"/>
      <c r="BR572" s="435">
        <f t="shared" si="496"/>
        <v>6.4094367030367264E-2</v>
      </c>
      <c r="BS572" s="66"/>
      <c r="BT572" s="75"/>
      <c r="BU572" s="170"/>
      <c r="BV572" s="1"/>
      <c r="BW572" s="61">
        <f t="shared" si="399"/>
        <v>563</v>
      </c>
    </row>
    <row r="573" spans="2:75" x14ac:dyDescent="0.3">
      <c r="B573" s="158">
        <f t="shared" si="448"/>
        <v>44473</v>
      </c>
      <c r="C573" s="61"/>
      <c r="D573" s="17">
        <v>73729</v>
      </c>
      <c r="E573" s="16"/>
      <c r="F573" s="16"/>
      <c r="G573" s="16"/>
      <c r="H573" s="16">
        <f t="shared" si="473"/>
        <v>42305464</v>
      </c>
      <c r="I573" s="16"/>
      <c r="J573" s="436">
        <f t="shared" si="474"/>
        <v>1.7458198200950067E-3</v>
      </c>
      <c r="K573" s="16"/>
      <c r="L573" s="16"/>
      <c r="M573" s="16"/>
      <c r="N573" s="16">
        <f t="shared" si="475"/>
        <v>610851</v>
      </c>
      <c r="O573" s="16">
        <f t="shared" si="476"/>
        <v>75009.687943262412</v>
      </c>
      <c r="P573" s="41"/>
      <c r="Q573" s="17">
        <f t="shared" si="477"/>
        <v>610851</v>
      </c>
      <c r="R573" s="16"/>
      <c r="S573" s="60">
        <f t="shared" si="478"/>
        <v>-0.17170387224585379</v>
      </c>
      <c r="T573" s="16"/>
      <c r="U573" s="41"/>
      <c r="V573" s="10">
        <f t="shared" si="349"/>
        <v>465</v>
      </c>
      <c r="W573" s="34">
        <v>733</v>
      </c>
      <c r="X573" s="33">
        <v>4256</v>
      </c>
      <c r="Y573" s="33"/>
      <c r="Z573" s="33">
        <f t="shared" si="479"/>
        <v>7505</v>
      </c>
      <c r="AA573" s="33">
        <f t="shared" si="480"/>
        <v>677060</v>
      </c>
      <c r="AB573" s="33"/>
      <c r="AC573" s="46">
        <f t="shared" si="481"/>
        <v>1.6004079283943085E-2</v>
      </c>
      <c r="AD573" s="33"/>
      <c r="AE573" s="33">
        <f t="shared" si="482"/>
        <v>1200.4609929078015</v>
      </c>
      <c r="AF573" s="50"/>
      <c r="AG573" s="33">
        <f t="shared" si="483"/>
        <v>9341</v>
      </c>
      <c r="AH573" s="33">
        <f>SUM(D544:D1316)</f>
        <v>822029912.06091404</v>
      </c>
      <c r="AI573" s="213">
        <f t="shared" si="484"/>
        <v>-0.11902291804206357</v>
      </c>
      <c r="AJ573" s="50"/>
      <c r="AK573" s="111"/>
      <c r="AL573" s="23">
        <f t="shared" si="485"/>
        <v>216630</v>
      </c>
      <c r="AM573" s="24"/>
      <c r="AN573" s="24"/>
      <c r="AO573" s="24">
        <v>178263</v>
      </c>
      <c r="AP573" s="24">
        <v>34154777</v>
      </c>
      <c r="AQ573" s="24">
        <v>20336656</v>
      </c>
      <c r="AR573" s="461">
        <f t="shared" si="486"/>
        <v>6.3830827298850465E-3</v>
      </c>
      <c r="AS573" s="25"/>
      <c r="AT573" s="25"/>
      <c r="AU573" s="24"/>
      <c r="AV573" s="298">
        <f t="shared" si="487"/>
        <v>0.80733725080996632</v>
      </c>
      <c r="AW573" s="298"/>
      <c r="AX573" s="24">
        <f t="shared" si="488"/>
        <v>60558.115248226954</v>
      </c>
      <c r="AY573" s="308"/>
      <c r="AZ573" s="111"/>
      <c r="BA573" s="65">
        <f t="shared" si="489"/>
        <v>4512688</v>
      </c>
      <c r="BB573" s="66"/>
      <c r="BC573" s="66">
        <v>649261344</v>
      </c>
      <c r="BD573" s="66"/>
      <c r="BE573" s="66">
        <f t="shared" si="490"/>
        <v>73729</v>
      </c>
      <c r="BF573" s="66"/>
      <c r="BG573" s="144">
        <f t="shared" si="491"/>
        <v>1.6338155884031869E-2</v>
      </c>
      <c r="BH573" s="66"/>
      <c r="BI573" s="170"/>
      <c r="BJ573" s="66"/>
      <c r="BK573" s="66">
        <f t="shared" si="492"/>
        <v>12737407</v>
      </c>
      <c r="BL573" s="66"/>
      <c r="BM573" s="144">
        <f t="shared" si="493"/>
        <v>4.7957249069610478E-2</v>
      </c>
      <c r="BN573" s="65">
        <f t="shared" si="494"/>
        <v>1151172.5957446808</v>
      </c>
      <c r="BO573" s="66"/>
      <c r="BP573" s="66">
        <f t="shared" si="495"/>
        <v>41398486</v>
      </c>
      <c r="BQ573" s="66"/>
      <c r="BR573" s="435">
        <f t="shared" si="496"/>
        <v>6.3762437703360333E-2</v>
      </c>
      <c r="BS573" s="66"/>
      <c r="BT573" s="75"/>
      <c r="BU573" s="170"/>
      <c r="BV573" s="1"/>
      <c r="BW573" s="61">
        <f t="shared" si="399"/>
        <v>564</v>
      </c>
    </row>
    <row r="574" spans="2:75" x14ac:dyDescent="0.3">
      <c r="B574" s="158">
        <f t="shared" si="448"/>
        <v>44474</v>
      </c>
      <c r="C574" s="61"/>
      <c r="D574" s="17">
        <v>94811</v>
      </c>
      <c r="E574" s="16"/>
      <c r="F574" s="16"/>
      <c r="G574" s="16"/>
      <c r="H574" s="16">
        <f t="shared" si="473"/>
        <v>42400275</v>
      </c>
      <c r="I574" s="16"/>
      <c r="J574" s="436">
        <f t="shared" si="474"/>
        <v>2.2411053097065666E-3</v>
      </c>
      <c r="K574" s="16"/>
      <c r="L574" s="16"/>
      <c r="M574" s="16"/>
      <c r="N574" s="16">
        <f t="shared" si="475"/>
        <v>600029</v>
      </c>
      <c r="O574" s="16">
        <f t="shared" si="476"/>
        <v>75044.734513274336</v>
      </c>
      <c r="P574" s="41"/>
      <c r="Q574" s="17">
        <f t="shared" si="477"/>
        <v>600029</v>
      </c>
      <c r="R574" s="16"/>
      <c r="S574" s="60">
        <f t="shared" si="478"/>
        <v>-0.16954796528324659</v>
      </c>
      <c r="T574" s="16"/>
      <c r="U574" s="41"/>
      <c r="V574" s="10">
        <f t="shared" si="349"/>
        <v>466</v>
      </c>
      <c r="W574" s="34">
        <v>1811</v>
      </c>
      <c r="X574" s="33">
        <v>4256</v>
      </c>
      <c r="Y574" s="33"/>
      <c r="Z574" s="33">
        <f t="shared" si="479"/>
        <v>7126</v>
      </c>
      <c r="AA574" s="33">
        <f t="shared" si="480"/>
        <v>678871</v>
      </c>
      <c r="AB574" s="33"/>
      <c r="AC574" s="46">
        <f t="shared" si="481"/>
        <v>1.6011004645606661E-2</v>
      </c>
      <c r="AD574" s="33"/>
      <c r="AE574" s="33">
        <f t="shared" si="482"/>
        <v>1201.5415929203539</v>
      </c>
      <c r="AF574" s="50"/>
      <c r="AG574" s="33">
        <f t="shared" si="483"/>
        <v>9316</v>
      </c>
      <c r="AH574" s="33">
        <f>SUM(D545:D1317)</f>
        <v>821994326.06091404</v>
      </c>
      <c r="AI574" s="213">
        <f t="shared" si="484"/>
        <v>-0.11377473363774733</v>
      </c>
      <c r="AJ574" s="50"/>
      <c r="AK574" s="111"/>
      <c r="AL574" s="23">
        <f t="shared" si="485"/>
        <v>127344</v>
      </c>
      <c r="AM574" s="24"/>
      <c r="AN574" s="24"/>
      <c r="AO574" s="24">
        <v>178263</v>
      </c>
      <c r="AP574" s="24">
        <v>34282121</v>
      </c>
      <c r="AQ574" s="24">
        <v>20336656</v>
      </c>
      <c r="AR574" s="461">
        <f t="shared" si="486"/>
        <v>3.7284389237850976E-3</v>
      </c>
      <c r="AS574" s="25"/>
      <c r="AT574" s="25"/>
      <c r="AU574" s="24"/>
      <c r="AV574" s="298">
        <f t="shared" si="487"/>
        <v>0.80853534558443307</v>
      </c>
      <c r="AW574" s="298"/>
      <c r="AX574" s="24">
        <f t="shared" si="488"/>
        <v>60676.320353982301</v>
      </c>
      <c r="AY574" s="308"/>
      <c r="AZ574" s="111"/>
      <c r="BA574" s="65">
        <f t="shared" si="489"/>
        <v>1427929</v>
      </c>
      <c r="BB574" s="66"/>
      <c r="BC574" s="66">
        <v>650689273</v>
      </c>
      <c r="BD574" s="66"/>
      <c r="BE574" s="66">
        <f t="shared" si="490"/>
        <v>94811</v>
      </c>
      <c r="BF574" s="66"/>
      <c r="BG574" s="144">
        <f t="shared" si="491"/>
        <v>6.6397558982274327E-2</v>
      </c>
      <c r="BH574" s="66"/>
      <c r="BI574" s="170"/>
      <c r="BJ574" s="66"/>
      <c r="BK574" s="66">
        <f t="shared" si="492"/>
        <v>12639534</v>
      </c>
      <c r="BL574" s="66"/>
      <c r="BM574" s="144">
        <f t="shared" si="493"/>
        <v>4.7472398903313999E-2</v>
      </c>
      <c r="BN574" s="65">
        <f t="shared" si="494"/>
        <v>1151662.4300884956</v>
      </c>
      <c r="BO574" s="66"/>
      <c r="BP574" s="66">
        <f t="shared" si="495"/>
        <v>41493297</v>
      </c>
      <c r="BQ574" s="66"/>
      <c r="BR574" s="435">
        <f t="shared" si="496"/>
        <v>6.3768220442140283E-2</v>
      </c>
      <c r="BS574" s="66"/>
      <c r="BT574" s="75"/>
      <c r="BU574" s="170"/>
      <c r="BV574" s="1"/>
      <c r="BW574" s="61">
        <f t="shared" si="399"/>
        <v>565</v>
      </c>
    </row>
    <row r="575" spans="2:75" x14ac:dyDescent="0.3">
      <c r="B575" s="158">
        <f t="shared" si="448"/>
        <v>44475</v>
      </c>
      <c r="C575" s="61"/>
      <c r="D575" s="17">
        <v>107987</v>
      </c>
      <c r="E575" s="16"/>
      <c r="F575" s="16"/>
      <c r="G575" s="16"/>
      <c r="H575" s="16">
        <f t="shared" si="473"/>
        <v>42508262</v>
      </c>
      <c r="I575" s="16"/>
      <c r="J575" s="436">
        <f t="shared" si="474"/>
        <v>2.5468466890839741E-3</v>
      </c>
      <c r="K575" s="16"/>
      <c r="L575" s="16"/>
      <c r="M575" s="16"/>
      <c r="N575" s="16">
        <f t="shared" si="475"/>
        <v>584740</v>
      </c>
      <c r="O575" s="16">
        <f t="shared" si="476"/>
        <v>75102.936395759723</v>
      </c>
      <c r="P575" s="41"/>
      <c r="Q575" s="17">
        <f t="shared" si="477"/>
        <v>584740</v>
      </c>
      <c r="R575" s="16"/>
      <c r="S575" s="60">
        <f t="shared" si="478"/>
        <v>-0.17895390128182267</v>
      </c>
      <c r="T575" s="16"/>
      <c r="U575" s="41"/>
      <c r="V575" s="10">
        <f t="shared" si="349"/>
        <v>467</v>
      </c>
      <c r="W575" s="34">
        <v>2102</v>
      </c>
      <c r="X575" s="33">
        <v>4256</v>
      </c>
      <c r="Y575" s="33"/>
      <c r="Z575" s="33">
        <f t="shared" si="479"/>
        <v>7416</v>
      </c>
      <c r="AA575" s="33">
        <f t="shared" si="480"/>
        <v>680973</v>
      </c>
      <c r="AB575" s="33"/>
      <c r="AC575" s="46">
        <f t="shared" si="481"/>
        <v>1.6019779872439858E-2</v>
      </c>
      <c r="AD575" s="33"/>
      <c r="AE575" s="33">
        <f t="shared" si="482"/>
        <v>1203.1325088339222</v>
      </c>
      <c r="AF575" s="50"/>
      <c r="AG575" s="33">
        <f t="shared" si="483"/>
        <v>9228</v>
      </c>
      <c r="AH575" s="33">
        <f>SUM(D546:D1318)</f>
        <v>821954682.06091404</v>
      </c>
      <c r="AI575" s="213">
        <f t="shared" si="484"/>
        <v>-0.11896123734962764</v>
      </c>
      <c r="AJ575" s="50"/>
      <c r="AK575" s="111"/>
      <c r="AL575" s="23">
        <f t="shared" si="485"/>
        <v>110205</v>
      </c>
      <c r="AM575" s="24"/>
      <c r="AN575" s="24"/>
      <c r="AO575" s="24">
        <v>178263</v>
      </c>
      <c r="AP575" s="24">
        <v>34392326</v>
      </c>
      <c r="AQ575" s="24">
        <v>20336656</v>
      </c>
      <c r="AR575" s="461">
        <f t="shared" si="486"/>
        <v>3.2146494086523992E-3</v>
      </c>
      <c r="AS575" s="25"/>
      <c r="AT575" s="25"/>
      <c r="AU575" s="24"/>
      <c r="AV575" s="298">
        <f t="shared" si="487"/>
        <v>0.80907391603072365</v>
      </c>
      <c r="AW575" s="298"/>
      <c r="AX575" s="24">
        <f t="shared" si="488"/>
        <v>60763.826855123676</v>
      </c>
      <c r="AY575" s="308"/>
      <c r="AZ575" s="111"/>
      <c r="BA575" s="65">
        <f t="shared" si="489"/>
        <v>1700356</v>
      </c>
      <c r="BB575" s="66"/>
      <c r="BC575" s="66">
        <v>652389629</v>
      </c>
      <c r="BD575" s="66"/>
      <c r="BE575" s="66">
        <f t="shared" si="490"/>
        <v>107987</v>
      </c>
      <c r="BF575" s="66"/>
      <c r="BG575" s="144">
        <f t="shared" si="491"/>
        <v>6.3508465286093024E-2</v>
      </c>
      <c r="BH575" s="66"/>
      <c r="BI575" s="170"/>
      <c r="BJ575" s="66"/>
      <c r="BK575" s="66">
        <f t="shared" si="492"/>
        <v>12556773</v>
      </c>
      <c r="BL575" s="66"/>
      <c r="BM575" s="144">
        <f t="shared" si="493"/>
        <v>4.6567696971188378E-2</v>
      </c>
      <c r="BN575" s="65">
        <f t="shared" si="494"/>
        <v>1152631.8533568904</v>
      </c>
      <c r="BO575" s="66"/>
      <c r="BP575" s="66">
        <f t="shared" si="495"/>
        <v>41601284</v>
      </c>
      <c r="BQ575" s="66"/>
      <c r="BR575" s="435">
        <f t="shared" si="496"/>
        <v>6.3767543429173679E-2</v>
      </c>
      <c r="BS575" s="66"/>
      <c r="BT575" s="75"/>
      <c r="BU575" s="170"/>
      <c r="BV575" s="1"/>
      <c r="BW575" s="61">
        <f t="shared" si="399"/>
        <v>566</v>
      </c>
    </row>
    <row r="576" spans="2:75" x14ac:dyDescent="0.3">
      <c r="B576" s="158">
        <f t="shared" si="448"/>
        <v>44476</v>
      </c>
      <c r="C576" s="61"/>
      <c r="D576" s="17">
        <v>108725</v>
      </c>
      <c r="E576" s="16"/>
      <c r="F576" s="16"/>
      <c r="G576" s="16"/>
      <c r="H576" s="16">
        <f t="shared" si="473"/>
        <v>42616987</v>
      </c>
      <c r="I576" s="16"/>
      <c r="J576" s="436">
        <f t="shared" si="474"/>
        <v>2.5577380698368706E-3</v>
      </c>
      <c r="K576" s="16"/>
      <c r="L576" s="16"/>
      <c r="M576" s="16"/>
      <c r="N576" s="16">
        <f t="shared" si="475"/>
        <v>579543</v>
      </c>
      <c r="O576" s="16">
        <f t="shared" si="476"/>
        <v>75162.234567901236</v>
      </c>
      <c r="P576" s="41"/>
      <c r="Q576" s="17">
        <f t="shared" si="477"/>
        <v>579543</v>
      </c>
      <c r="R576" s="16"/>
      <c r="S576" s="60">
        <f t="shared" si="478"/>
        <v>-0.17047926853007522</v>
      </c>
      <c r="T576" s="16"/>
      <c r="U576" s="41"/>
      <c r="V576" s="10">
        <f t="shared" si="349"/>
        <v>468</v>
      </c>
      <c r="W576" s="34">
        <v>1876</v>
      </c>
      <c r="X576" s="33">
        <v>4256</v>
      </c>
      <c r="Y576" s="33"/>
      <c r="Z576" s="33">
        <f t="shared" si="479"/>
        <v>7471</v>
      </c>
      <c r="AA576" s="33">
        <f t="shared" si="480"/>
        <v>682849</v>
      </c>
      <c r="AB576" s="33"/>
      <c r="AC576" s="46">
        <f t="shared" si="481"/>
        <v>1.6022930011452944E-2</v>
      </c>
      <c r="AD576" s="33"/>
      <c r="AE576" s="33">
        <f t="shared" si="482"/>
        <v>1204.3192239858906</v>
      </c>
      <c r="AF576" s="50"/>
      <c r="AG576" s="33">
        <f t="shared" si="483"/>
        <v>9292</v>
      </c>
      <c r="AH576" s="33">
        <f>SUM(D547:D1319)</f>
        <v>821838906.06091404</v>
      </c>
      <c r="AI576" s="213">
        <f t="shared" si="484"/>
        <v>-9.8913886733902251E-2</v>
      </c>
      <c r="AJ576" s="50"/>
      <c r="AK576" s="111"/>
      <c r="AL576" s="23">
        <f t="shared" si="485"/>
        <v>86805</v>
      </c>
      <c r="AM576" s="24"/>
      <c r="AN576" s="24"/>
      <c r="AO576" s="24">
        <v>178263</v>
      </c>
      <c r="AP576" s="24">
        <v>34479131</v>
      </c>
      <c r="AQ576" s="24">
        <v>20336656</v>
      </c>
      <c r="AR576" s="461">
        <f t="shared" si="486"/>
        <v>2.5239642122489767E-3</v>
      </c>
      <c r="AS576" s="25"/>
      <c r="AT576" s="25"/>
      <c r="AU576" s="24"/>
      <c r="AV576" s="298">
        <f t="shared" si="487"/>
        <v>0.80904666019678961</v>
      </c>
      <c r="AW576" s="298"/>
      <c r="AX576" s="24">
        <f t="shared" si="488"/>
        <v>60809.754850088182</v>
      </c>
      <c r="AY576" s="308"/>
      <c r="AZ576" s="111"/>
      <c r="BA576" s="65">
        <f t="shared" si="489"/>
        <v>1776421</v>
      </c>
      <c r="BB576" s="66"/>
      <c r="BC576" s="66">
        <v>654166050</v>
      </c>
      <c r="BD576" s="66"/>
      <c r="BE576" s="66">
        <f t="shared" si="490"/>
        <v>108725</v>
      </c>
      <c r="BF576" s="66"/>
      <c r="BG576" s="144">
        <f t="shared" si="491"/>
        <v>6.1204523026917604E-2</v>
      </c>
      <c r="BH576" s="66"/>
      <c r="BI576" s="170"/>
      <c r="BJ576" s="66"/>
      <c r="BK576" s="66">
        <f t="shared" si="492"/>
        <v>12314676</v>
      </c>
      <c r="BL576" s="66"/>
      <c r="BM576" s="144">
        <f t="shared" si="493"/>
        <v>4.7061165068411057E-2</v>
      </c>
      <c r="BN576" s="65">
        <f t="shared" si="494"/>
        <v>1153732.0105820105</v>
      </c>
      <c r="BO576" s="66"/>
      <c r="BP576" s="66">
        <f t="shared" si="495"/>
        <v>41710009</v>
      </c>
      <c r="BQ576" s="66"/>
      <c r="BR576" s="435">
        <f t="shared" si="496"/>
        <v>6.3760583417620031E-2</v>
      </c>
      <c r="BS576" s="66"/>
      <c r="BT576" s="75"/>
      <c r="BU576" s="170"/>
      <c r="BV576" s="1"/>
      <c r="BW576" s="61">
        <f t="shared" si="399"/>
        <v>567</v>
      </c>
    </row>
    <row r="577" spans="2:75" x14ac:dyDescent="0.3">
      <c r="B577" s="158">
        <f t="shared" si="448"/>
        <v>44477</v>
      </c>
      <c r="C577" s="61"/>
      <c r="D577" s="17">
        <v>106298</v>
      </c>
      <c r="E577" s="16"/>
      <c r="F577" s="16"/>
      <c r="G577" s="16"/>
      <c r="H577" s="16">
        <f t="shared" si="473"/>
        <v>42723285</v>
      </c>
      <c r="I577" s="16"/>
      <c r="J577" s="436">
        <f t="shared" si="474"/>
        <v>2.4942636137087778E-3</v>
      </c>
      <c r="K577" s="16"/>
      <c r="L577" s="16"/>
      <c r="M577" s="16"/>
      <c r="N577" s="16">
        <f t="shared" si="475"/>
        <v>564965</v>
      </c>
      <c r="O577" s="16">
        <f t="shared" si="476"/>
        <v>75217.051056338023</v>
      </c>
      <c r="P577" s="41"/>
      <c r="Q577" s="17">
        <f t="shared" si="477"/>
        <v>564965</v>
      </c>
      <c r="R577" s="16"/>
      <c r="S577" s="60">
        <f t="shared" si="478"/>
        <v>-0.17944654961315407</v>
      </c>
      <c r="T577" s="16"/>
      <c r="U577" s="41"/>
      <c r="V577" s="10">
        <f t="shared" si="349"/>
        <v>469</v>
      </c>
      <c r="W577" s="34">
        <v>1937</v>
      </c>
      <c r="X577" s="33">
        <v>4256</v>
      </c>
      <c r="Y577" s="33"/>
      <c r="Z577" s="33">
        <f t="shared" si="479"/>
        <v>8718</v>
      </c>
      <c r="AA577" s="33">
        <f t="shared" si="480"/>
        <v>684786</v>
      </c>
      <c r="AB577" s="33"/>
      <c r="AC577" s="46">
        <f t="shared" si="481"/>
        <v>1.6028402310356051E-2</v>
      </c>
      <c r="AD577" s="33"/>
      <c r="AE577" s="33">
        <f t="shared" si="482"/>
        <v>1205.6091549295775</v>
      </c>
      <c r="AF577" s="50"/>
      <c r="AG577" s="33">
        <f t="shared" si="483"/>
        <v>9408</v>
      </c>
      <c r="AH577" s="33">
        <f>SUM(D548:D1320)</f>
        <v>821681147.06091404</v>
      </c>
      <c r="AI577" s="213">
        <f t="shared" si="484"/>
        <v>-7.1181755355908774E-2</v>
      </c>
      <c r="AJ577" s="50"/>
      <c r="AK577" s="111"/>
      <c r="AL577" s="23">
        <f t="shared" si="485"/>
        <v>98385</v>
      </c>
      <c r="AM577" s="24"/>
      <c r="AN577" s="24"/>
      <c r="AO577" s="24">
        <v>178263</v>
      </c>
      <c r="AP577" s="24">
        <v>34577516</v>
      </c>
      <c r="AQ577" s="24">
        <v>20336656</v>
      </c>
      <c r="AR577" s="461">
        <f t="shared" si="486"/>
        <v>2.8534651873911789E-3</v>
      </c>
      <c r="AS577" s="25"/>
      <c r="AT577" s="25"/>
      <c r="AU577" s="24"/>
      <c r="AV577" s="298">
        <f t="shared" si="487"/>
        <v>0.80933654797378063</v>
      </c>
      <c r="AW577" s="298"/>
      <c r="AX577" s="24">
        <f t="shared" si="488"/>
        <v>60875.908450704228</v>
      </c>
      <c r="AY577" s="308"/>
      <c r="AZ577" s="111"/>
      <c r="BA577" s="65">
        <f t="shared" si="489"/>
        <v>2387687</v>
      </c>
      <c r="BB577" s="66"/>
      <c r="BC577" s="66">
        <v>656553737</v>
      </c>
      <c r="BD577" s="66"/>
      <c r="BE577" s="66">
        <f t="shared" si="490"/>
        <v>106298</v>
      </c>
      <c r="BF577" s="66"/>
      <c r="BG577" s="144">
        <f t="shared" si="491"/>
        <v>4.4519235561445034E-2</v>
      </c>
      <c r="BH577" s="66"/>
      <c r="BI577" s="170"/>
      <c r="BJ577" s="66"/>
      <c r="BK577" s="66">
        <f t="shared" si="492"/>
        <v>12787030</v>
      </c>
      <c r="BL577" s="66"/>
      <c r="BM577" s="144">
        <f t="shared" si="493"/>
        <v>4.4182660086040305E-2</v>
      </c>
      <c r="BN577" s="65">
        <f t="shared" si="494"/>
        <v>1155904.4665492957</v>
      </c>
      <c r="BO577" s="66"/>
      <c r="BP577" s="66">
        <f t="shared" si="495"/>
        <v>41816307</v>
      </c>
      <c r="BQ577" s="66"/>
      <c r="BR577" s="435">
        <f t="shared" si="496"/>
        <v>6.3690608465762188E-2</v>
      </c>
      <c r="BS577" s="66"/>
      <c r="BT577" s="75"/>
      <c r="BU577" s="170"/>
      <c r="BV577" s="1"/>
      <c r="BW577" s="61">
        <f t="shared" si="399"/>
        <v>568</v>
      </c>
    </row>
    <row r="578" spans="2:75" x14ac:dyDescent="0.3">
      <c r="B578" s="158">
        <f t="shared" si="448"/>
        <v>44478</v>
      </c>
      <c r="C578" s="61"/>
      <c r="D578" s="17">
        <v>42357</v>
      </c>
      <c r="E578" s="16"/>
      <c r="F578" s="16"/>
      <c r="G578" s="16"/>
      <c r="H578" s="16">
        <f t="shared" si="473"/>
        <v>42765642</v>
      </c>
      <c r="I578" s="16"/>
      <c r="J578" s="436">
        <f t="shared" si="474"/>
        <v>9.9142657218423153E-4</v>
      </c>
      <c r="K578" s="16"/>
      <c r="L578" s="16"/>
      <c r="M578" s="16"/>
      <c r="N578" s="16">
        <f t="shared" si="475"/>
        <v>560840</v>
      </c>
      <c r="O578" s="16">
        <f t="shared" si="476"/>
        <v>75159.300527240775</v>
      </c>
      <c r="P578" s="41"/>
      <c r="Q578" s="17">
        <f t="shared" si="477"/>
        <v>560840</v>
      </c>
      <c r="R578" s="16"/>
      <c r="S578" s="60">
        <f t="shared" si="478"/>
        <v>-0.13746116698963429</v>
      </c>
      <c r="T578" s="16"/>
      <c r="U578" s="41"/>
      <c r="V578" s="10">
        <f t="shared" si="349"/>
        <v>470</v>
      </c>
      <c r="W578" s="34">
        <v>581</v>
      </c>
      <c r="X578" s="33">
        <v>4256</v>
      </c>
      <c r="Y578" s="33"/>
      <c r="Z578" s="33">
        <f t="shared" si="479"/>
        <v>9040</v>
      </c>
      <c r="AA578" s="33">
        <f t="shared" si="480"/>
        <v>685367</v>
      </c>
      <c r="AB578" s="33"/>
      <c r="AC578" s="46">
        <f t="shared" si="481"/>
        <v>1.6026112737884304E-2</v>
      </c>
      <c r="AD578" s="33"/>
      <c r="AE578" s="33">
        <f t="shared" si="482"/>
        <v>1204.5114235500878</v>
      </c>
      <c r="AF578" s="50"/>
      <c r="AG578" s="33">
        <f t="shared" si="483"/>
        <v>9299</v>
      </c>
      <c r="AH578" s="33">
        <f>SUM(D549:D1321)</f>
        <v>821520399.06091404</v>
      </c>
      <c r="AI578" s="213">
        <f t="shared" si="484"/>
        <v>-3.3769742310889445E-2</v>
      </c>
      <c r="AJ578" s="50"/>
      <c r="AK578" s="111"/>
      <c r="AL578" s="23">
        <f t="shared" si="485"/>
        <v>53138</v>
      </c>
      <c r="AM578" s="24"/>
      <c r="AN578" s="24"/>
      <c r="AO578" s="24">
        <v>178263</v>
      </c>
      <c r="AP578" s="24">
        <v>34630654</v>
      </c>
      <c r="AQ578" s="24">
        <v>20336656</v>
      </c>
      <c r="AR578" s="461">
        <f t="shared" si="486"/>
        <v>1.5367789866686779E-3</v>
      </c>
      <c r="AS578" s="25"/>
      <c r="AT578" s="25"/>
      <c r="AU578" s="24"/>
      <c r="AV578" s="298">
        <f t="shared" si="487"/>
        <v>0.8097774844582013</v>
      </c>
      <c r="AW578" s="298"/>
      <c r="AX578" s="24">
        <f t="shared" si="488"/>
        <v>60862.309314586993</v>
      </c>
      <c r="AY578" s="308"/>
      <c r="AZ578" s="111"/>
      <c r="BA578" s="65">
        <f t="shared" si="489"/>
        <v>549020</v>
      </c>
      <c r="BB578" s="66"/>
      <c r="BC578" s="66">
        <v>657102757</v>
      </c>
      <c r="BD578" s="66"/>
      <c r="BE578" s="66">
        <f t="shared" si="490"/>
        <v>42357</v>
      </c>
      <c r="BF578" s="66"/>
      <c r="BG578" s="144">
        <f t="shared" si="491"/>
        <v>7.7150194892717933E-2</v>
      </c>
      <c r="BH578" s="66"/>
      <c r="BI578" s="170"/>
      <c r="BJ578" s="66"/>
      <c r="BK578" s="66">
        <f t="shared" si="492"/>
        <v>12762457</v>
      </c>
      <c r="BL578" s="66"/>
      <c r="BM578" s="144">
        <f t="shared" si="493"/>
        <v>4.3944516326284197E-2</v>
      </c>
      <c r="BN578" s="65">
        <f t="shared" si="494"/>
        <v>1154837.8857644992</v>
      </c>
      <c r="BO578" s="66"/>
      <c r="BP578" s="66">
        <f t="shared" si="495"/>
        <v>41858664</v>
      </c>
      <c r="BQ578" s="66"/>
      <c r="BR578" s="435">
        <f t="shared" si="496"/>
        <v>6.3701854168297156E-2</v>
      </c>
      <c r="BS578" s="66"/>
      <c r="BT578" s="75"/>
      <c r="BU578" s="170"/>
      <c r="BV578" s="1"/>
      <c r="BW578" s="61">
        <f t="shared" si="399"/>
        <v>569</v>
      </c>
    </row>
    <row r="579" spans="2:75" x14ac:dyDescent="0.3">
      <c r="B579" s="347">
        <f t="shared" si="448"/>
        <v>44479</v>
      </c>
      <c r="C579" s="61"/>
      <c r="D579" s="17">
        <v>24694</v>
      </c>
      <c r="E579" s="16"/>
      <c r="F579" s="16"/>
      <c r="G579" s="16"/>
      <c r="H579" s="16">
        <f t="shared" si="473"/>
        <v>42790336</v>
      </c>
      <c r="I579" s="16"/>
      <c r="J579" s="436">
        <f t="shared" si="474"/>
        <v>5.7742614971149041E-4</v>
      </c>
      <c r="K579" s="16"/>
      <c r="L579" s="16"/>
      <c r="M579" s="16"/>
      <c r="N579" s="16">
        <f t="shared" si="475"/>
        <v>558601</v>
      </c>
      <c r="O579" s="16">
        <f t="shared" si="476"/>
        <v>75070.764912280705</v>
      </c>
      <c r="P579" s="41"/>
      <c r="Q579" s="17">
        <f t="shared" si="477"/>
        <v>558601</v>
      </c>
      <c r="R579" s="16"/>
      <c r="S579" s="60">
        <f t="shared" si="478"/>
        <v>-9.6890859148530961E-2</v>
      </c>
      <c r="T579" s="16"/>
      <c r="U579" s="41"/>
      <c r="V579" s="10">
        <f t="shared" si="349"/>
        <v>471</v>
      </c>
      <c r="W579" s="34">
        <v>517</v>
      </c>
      <c r="X579" s="33">
        <v>4256</v>
      </c>
      <c r="Y579" s="33"/>
      <c r="Z579" s="33">
        <f t="shared" si="479"/>
        <v>8824</v>
      </c>
      <c r="AA579" s="33">
        <f t="shared" si="480"/>
        <v>685884</v>
      </c>
      <c r="AB579" s="33"/>
      <c r="AC579" s="46">
        <f t="shared" si="481"/>
        <v>1.6028946349007402E-2</v>
      </c>
      <c r="AD579" s="33"/>
      <c r="AE579" s="33">
        <f t="shared" si="482"/>
        <v>1203.3052631578948</v>
      </c>
      <c r="AF579" s="50"/>
      <c r="AG579" s="33">
        <f t="shared" si="483"/>
        <v>9557</v>
      </c>
      <c r="AH579" s="33">
        <f>SUM(D550:D1322)</f>
        <v>821349274.06091404</v>
      </c>
      <c r="AI579" s="213">
        <f t="shared" si="484"/>
        <v>2.7966010541034741E-2</v>
      </c>
      <c r="AJ579" s="50"/>
      <c r="AK579" s="111"/>
      <c r="AL579" s="23">
        <f t="shared" si="485"/>
        <v>34309</v>
      </c>
      <c r="AM579" s="24"/>
      <c r="AN579" s="24"/>
      <c r="AO579" s="24">
        <v>178263</v>
      </c>
      <c r="AP579" s="24">
        <v>34664963</v>
      </c>
      <c r="AQ579" s="24">
        <v>20336656</v>
      </c>
      <c r="AR579" s="461">
        <f t="shared" si="486"/>
        <v>9.9071187047175026E-4</v>
      </c>
      <c r="AS579" s="25"/>
      <c r="AT579" s="25"/>
      <c r="AU579" s="24"/>
      <c r="AV579" s="298">
        <f t="shared" si="487"/>
        <v>0.81011196079413816</v>
      </c>
      <c r="AW579" s="298"/>
      <c r="AX579" s="24">
        <f t="shared" si="488"/>
        <v>60815.724561403506</v>
      </c>
      <c r="AY579" s="308"/>
      <c r="AZ579" s="111"/>
      <c r="BA579" s="65">
        <f t="shared" si="489"/>
        <v>311143</v>
      </c>
      <c r="BB579" s="66"/>
      <c r="BC579" s="66">
        <v>657413900</v>
      </c>
      <c r="BD579" s="66"/>
      <c r="BE579" s="66">
        <f t="shared" si="490"/>
        <v>24694</v>
      </c>
      <c r="BF579" s="66"/>
      <c r="BG579" s="144">
        <f t="shared" si="491"/>
        <v>7.9365436471333123E-2</v>
      </c>
      <c r="BH579" s="66"/>
      <c r="BI579" s="170"/>
      <c r="BJ579" s="66"/>
      <c r="BK579" s="66">
        <f t="shared" si="492"/>
        <v>12665244</v>
      </c>
      <c r="BL579" s="66"/>
      <c r="BM579" s="144">
        <f t="shared" si="493"/>
        <v>4.4105032638929023E-2</v>
      </c>
      <c r="BN579" s="65">
        <f t="shared" si="494"/>
        <v>1153357.7192982456</v>
      </c>
      <c r="BO579" s="66"/>
      <c r="BP579" s="66">
        <f t="shared" si="495"/>
        <v>41883358</v>
      </c>
      <c r="BQ579" s="66"/>
      <c r="BR579" s="435">
        <f t="shared" si="496"/>
        <v>6.3709267479741455E-2</v>
      </c>
      <c r="BS579" s="66"/>
      <c r="BT579" s="75"/>
      <c r="BU579" s="170"/>
      <c r="BV579" s="1"/>
      <c r="BW579" s="61">
        <f t="shared" si="399"/>
        <v>570</v>
      </c>
    </row>
    <row r="580" spans="2:75" x14ac:dyDescent="0.3">
      <c r="B580" s="158">
        <f t="shared" si="448"/>
        <v>44480</v>
      </c>
      <c r="C580" s="61"/>
      <c r="D580" s="17">
        <v>64991</v>
      </c>
      <c r="E580" s="16"/>
      <c r="F580" s="16"/>
      <c r="G580" s="16"/>
      <c r="H580" s="16">
        <f t="shared" si="473"/>
        <v>42855327</v>
      </c>
      <c r="I580" s="16"/>
      <c r="J580" s="436">
        <f t="shared" si="474"/>
        <v>1.5188242504101861E-3</v>
      </c>
      <c r="K580" s="16"/>
      <c r="L580" s="16"/>
      <c r="M580" s="16"/>
      <c r="N580" s="16">
        <f t="shared" si="475"/>
        <v>549863</v>
      </c>
      <c r="O580" s="16">
        <f t="shared" si="476"/>
        <v>75053.112084063046</v>
      </c>
      <c r="P580" s="41"/>
      <c r="Q580" s="17">
        <f t="shared" si="477"/>
        <v>549863</v>
      </c>
      <c r="R580" s="16"/>
      <c r="S580" s="60">
        <f t="shared" si="478"/>
        <v>-9.9841041432362387E-2</v>
      </c>
      <c r="T580" s="16"/>
      <c r="U580" s="41"/>
      <c r="V580" s="10">
        <f t="shared" si="349"/>
        <v>472</v>
      </c>
      <c r="W580" s="34">
        <v>651</v>
      </c>
      <c r="X580" s="33">
        <v>4256</v>
      </c>
      <c r="Y580" s="33"/>
      <c r="Z580" s="33">
        <f t="shared" si="479"/>
        <v>7664</v>
      </c>
      <c r="AA580" s="33">
        <f t="shared" si="480"/>
        <v>686535</v>
      </c>
      <c r="AB580" s="33"/>
      <c r="AC580" s="46">
        <f t="shared" si="481"/>
        <v>1.6019828760144569E-2</v>
      </c>
      <c r="AD580" s="33"/>
      <c r="AE580" s="33">
        <f t="shared" si="482"/>
        <v>1202.3380035026269</v>
      </c>
      <c r="AF580" s="50"/>
      <c r="AG580" s="33">
        <f t="shared" si="483"/>
        <v>9475</v>
      </c>
      <c r="AH580" s="33">
        <f>SUM(D551:D1323)</f>
        <v>821277186.06091404</v>
      </c>
      <c r="AI580" s="213">
        <f t="shared" si="484"/>
        <v>1.4345359169253826E-2</v>
      </c>
      <c r="AJ580" s="50"/>
      <c r="AK580" s="111" t="s">
        <v>26</v>
      </c>
      <c r="AL580" s="23">
        <f t="shared" si="485"/>
        <v>150000</v>
      </c>
      <c r="AM580" s="24"/>
      <c r="AN580" s="24"/>
      <c r="AO580" s="24">
        <v>178263</v>
      </c>
      <c r="AP580" s="24">
        <f>+AP579+150000</f>
        <v>34814963</v>
      </c>
      <c r="AQ580" s="24">
        <v>20336656</v>
      </c>
      <c r="AR580" s="461">
        <f t="shared" si="486"/>
        <v>4.327135730679995E-3</v>
      </c>
      <c r="AS580" s="25"/>
      <c r="AT580" s="25"/>
      <c r="AU580" s="24"/>
      <c r="AV580" s="298">
        <f t="shared" si="487"/>
        <v>0.81238355735799195</v>
      </c>
      <c r="AW580" s="298"/>
      <c r="AX580" s="24">
        <f t="shared" si="488"/>
        <v>60971.914185639231</v>
      </c>
      <c r="AY580" s="308"/>
      <c r="AZ580" s="111" t="s">
        <v>26</v>
      </c>
      <c r="BA580" s="65">
        <f t="shared" si="489"/>
        <v>2200000</v>
      </c>
      <c r="BB580" s="66"/>
      <c r="BC580" s="66">
        <f>+BC579+2200000</f>
        <v>659613900</v>
      </c>
      <c r="BD580" s="66"/>
      <c r="BE580" s="66">
        <f t="shared" si="490"/>
        <v>64991</v>
      </c>
      <c r="BF580" s="66"/>
      <c r="BG580" s="144">
        <f t="shared" si="491"/>
        <v>2.9541363636363636E-2</v>
      </c>
      <c r="BH580" s="66"/>
      <c r="BI580" s="170"/>
      <c r="BJ580" s="66"/>
      <c r="BK580" s="66">
        <f t="shared" si="492"/>
        <v>10352556</v>
      </c>
      <c r="BL580" s="66"/>
      <c r="BM580" s="144">
        <f t="shared" si="493"/>
        <v>5.3113743118124647E-2</v>
      </c>
      <c r="BN580" s="65">
        <f t="shared" si="494"/>
        <v>1155190.7180385289</v>
      </c>
      <c r="BO580" s="66"/>
      <c r="BP580" s="66">
        <f t="shared" si="495"/>
        <v>41948349</v>
      </c>
      <c r="BQ580" s="66"/>
      <c r="BR580" s="435">
        <f t="shared" si="496"/>
        <v>6.359530780051785E-2</v>
      </c>
      <c r="BS580" s="66"/>
      <c r="BT580" s="75"/>
      <c r="BU580" s="170"/>
      <c r="BV580" s="1"/>
      <c r="BW580" s="61">
        <f t="shared" si="399"/>
        <v>571</v>
      </c>
    </row>
    <row r="581" spans="2:75" x14ac:dyDescent="0.3">
      <c r="B581" s="158">
        <f t="shared" si="448"/>
        <v>44481</v>
      </c>
      <c r="C581" s="61"/>
      <c r="D581" s="17">
        <v>92247</v>
      </c>
      <c r="E581" s="16"/>
      <c r="F581" s="16"/>
      <c r="G581" s="16"/>
      <c r="H581" s="16">
        <f t="shared" si="473"/>
        <v>42947574</v>
      </c>
      <c r="I581" s="16"/>
      <c r="J581" s="436">
        <f t="shared" si="474"/>
        <v>2.1525212023233422E-3</v>
      </c>
      <c r="K581" s="16"/>
      <c r="L581" s="16"/>
      <c r="M581" s="16"/>
      <c r="N581" s="16">
        <f t="shared" si="475"/>
        <v>547299</v>
      </c>
      <c r="O581" s="16">
        <f t="shared" si="476"/>
        <v>75083.171328671335</v>
      </c>
      <c r="P581" s="41"/>
      <c r="Q581" s="17">
        <f t="shared" si="477"/>
        <v>547299</v>
      </c>
      <c r="R581" s="16"/>
      <c r="S581" s="60">
        <f t="shared" si="478"/>
        <v>-8.7879085844184204E-2</v>
      </c>
      <c r="T581" s="16"/>
      <c r="U581" s="41"/>
      <c r="V581" s="10">
        <f t="shared" si="349"/>
        <v>473</v>
      </c>
      <c r="W581" s="34">
        <v>1597</v>
      </c>
      <c r="X581" s="33">
        <v>4256</v>
      </c>
      <c r="Y581" s="33"/>
      <c r="Z581" s="33">
        <f t="shared" si="479"/>
        <v>7159</v>
      </c>
      <c r="AA581" s="33">
        <f t="shared" si="480"/>
        <v>688132</v>
      </c>
      <c r="AB581" s="33"/>
      <c r="AC581" s="46">
        <f t="shared" si="481"/>
        <v>1.6022604676110459E-2</v>
      </c>
      <c r="AD581" s="33"/>
      <c r="AE581" s="33">
        <f t="shared" si="482"/>
        <v>1203.0279720279721</v>
      </c>
      <c r="AF581" s="50"/>
      <c r="AG581" s="33"/>
      <c r="AH581" s="33"/>
      <c r="AI581" s="213"/>
      <c r="AJ581" s="50"/>
      <c r="AK581" s="111" t="s">
        <v>26</v>
      </c>
      <c r="AL581" s="23">
        <f t="shared" si="485"/>
        <v>150000</v>
      </c>
      <c r="AM581" s="24"/>
      <c r="AN581" s="24"/>
      <c r="AO581" s="24">
        <v>178263</v>
      </c>
      <c r="AP581" s="24">
        <f>+AP580+150000</f>
        <v>34964963</v>
      </c>
      <c r="AQ581" s="24">
        <v>20336656</v>
      </c>
      <c r="AR581" s="461">
        <f t="shared" si="486"/>
        <v>4.3084922997045838E-3</v>
      </c>
      <c r="AS581" s="25"/>
      <c r="AT581" s="25"/>
      <c r="AU581" s="24"/>
      <c r="AV581" s="298">
        <f t="shared" si="487"/>
        <v>0.81413127083732362</v>
      </c>
      <c r="AW581" s="298"/>
      <c r="AX581" s="24">
        <f t="shared" si="488"/>
        <v>61127.557692307695</v>
      </c>
      <c r="AY581" s="308"/>
      <c r="AZ581" s="111" t="s">
        <v>26</v>
      </c>
      <c r="BA581" s="65">
        <f t="shared" si="489"/>
        <v>2200000</v>
      </c>
      <c r="BB581" s="66"/>
      <c r="BC581" s="66">
        <f>+BC580+2200000</f>
        <v>661813900</v>
      </c>
      <c r="BD581" s="66"/>
      <c r="BE581" s="66">
        <f t="shared" si="490"/>
        <v>92247</v>
      </c>
      <c r="BF581" s="66"/>
      <c r="BG581" s="144">
        <f t="shared" si="491"/>
        <v>4.1930454545454549E-2</v>
      </c>
      <c r="BH581" s="66"/>
      <c r="BI581" s="170"/>
      <c r="BJ581" s="66"/>
      <c r="BK581" s="66"/>
      <c r="BL581" s="66"/>
      <c r="BM581" s="144"/>
      <c r="BN581" s="65">
        <f t="shared" si="494"/>
        <v>1157017.3076923077</v>
      </c>
      <c r="BO581" s="66"/>
      <c r="BP581" s="66">
        <f t="shared" si="495"/>
        <v>42040596</v>
      </c>
      <c r="BQ581" s="66"/>
      <c r="BR581" s="435">
        <f t="shared" si="496"/>
        <v>6.3523289553150813E-2</v>
      </c>
      <c r="BS581" s="66"/>
      <c r="BT581" s="75"/>
      <c r="BU581" s="170"/>
      <c r="BV581" s="1"/>
      <c r="BW581" s="61">
        <f t="shared" si="399"/>
        <v>572</v>
      </c>
    </row>
    <row r="582" spans="2:75" x14ac:dyDescent="0.3">
      <c r="B582" s="158">
        <f t="shared" si="448"/>
        <v>44482</v>
      </c>
      <c r="C582" s="61"/>
      <c r="D582" s="17">
        <v>99775</v>
      </c>
      <c r="E582" s="16"/>
      <c r="F582" s="16"/>
      <c r="G582" s="16"/>
      <c r="H582" s="16">
        <f t="shared" si="473"/>
        <v>43047349</v>
      </c>
      <c r="I582" s="16"/>
      <c r="J582" s="436">
        <f t="shared" si="474"/>
        <v>2.3231812814386208E-3</v>
      </c>
      <c r="K582" s="16"/>
      <c r="L582" s="16"/>
      <c r="M582" s="16"/>
      <c r="N582" s="16">
        <f t="shared" si="475"/>
        <v>539087</v>
      </c>
      <c r="O582" s="16">
        <f t="shared" si="476"/>
        <v>75126.263525305403</v>
      </c>
      <c r="P582" s="41"/>
      <c r="Q582" s="17">
        <f t="shared" si="477"/>
        <v>539087</v>
      </c>
      <c r="R582" s="16"/>
      <c r="S582" s="60">
        <f t="shared" si="478"/>
        <v>-7.8074015801894853E-2</v>
      </c>
      <c r="T582" s="16"/>
      <c r="U582" s="41"/>
      <c r="V582" s="10">
        <f t="shared" si="349"/>
        <v>474</v>
      </c>
      <c r="W582" s="34">
        <v>1819</v>
      </c>
      <c r="X582" s="33">
        <v>4256</v>
      </c>
      <c r="Y582" s="33"/>
      <c r="Z582" s="33">
        <f t="shared" si="479"/>
        <v>7102</v>
      </c>
      <c r="AA582" s="33">
        <f t="shared" si="480"/>
        <v>689951</v>
      </c>
      <c r="AB582" s="33"/>
      <c r="AC582" s="46">
        <f t="shared" si="481"/>
        <v>1.6027723333206883E-2</v>
      </c>
      <c r="AD582" s="33"/>
      <c r="AE582" s="33">
        <f t="shared" si="482"/>
        <v>1204.1029668411868</v>
      </c>
      <c r="AF582" s="50"/>
      <c r="AG582" s="33"/>
      <c r="AH582" s="33"/>
      <c r="AI582" s="213"/>
      <c r="AJ582" s="50"/>
      <c r="AK582" s="111"/>
      <c r="AL582" s="23">
        <f t="shared" si="485"/>
        <v>142489</v>
      </c>
      <c r="AM582" s="24"/>
      <c r="AN582" s="24"/>
      <c r="AO582" s="24">
        <v>178263</v>
      </c>
      <c r="AP582" s="24">
        <v>35107452</v>
      </c>
      <c r="AQ582" s="24">
        <v>20336656</v>
      </c>
      <c r="AR582" s="461">
        <f t="shared" si="486"/>
        <v>4.0751937875638539E-3</v>
      </c>
      <c r="AS582" s="25"/>
      <c r="AT582" s="25"/>
      <c r="AU582" s="24"/>
      <c r="AV582" s="298">
        <f t="shared" si="487"/>
        <v>0.81555433297413971</v>
      </c>
      <c r="AW582" s="298"/>
      <c r="AX582" s="24">
        <f t="shared" si="488"/>
        <v>61269.549738219896</v>
      </c>
      <c r="AY582" s="308"/>
      <c r="AZ582" s="111"/>
      <c r="BA582" s="65">
        <f t="shared" si="489"/>
        <v>2261407</v>
      </c>
      <c r="BB582" s="66"/>
      <c r="BC582" s="66">
        <v>664075307</v>
      </c>
      <c r="BD582" s="66"/>
      <c r="BE582" s="66">
        <f t="shared" si="490"/>
        <v>99775</v>
      </c>
      <c r="BF582" s="66"/>
      <c r="BG582" s="144">
        <f t="shared" si="491"/>
        <v>4.4120761985790263E-2</v>
      </c>
      <c r="BH582" s="66"/>
      <c r="BI582" s="170"/>
      <c r="BJ582" s="66"/>
      <c r="BK582" s="66"/>
      <c r="BL582" s="66"/>
      <c r="BM582" s="144"/>
      <c r="BN582" s="65">
        <f t="shared" si="494"/>
        <v>1158944.6893542758</v>
      </c>
      <c r="BO582" s="66"/>
      <c r="BP582" s="66">
        <f t="shared" si="495"/>
        <v>42140371</v>
      </c>
      <c r="BQ582" s="66"/>
      <c r="BR582" s="435">
        <f t="shared" si="496"/>
        <v>6.3457217209854783E-2</v>
      </c>
      <c r="BS582" s="66"/>
      <c r="BT582" s="75"/>
      <c r="BU582" s="170"/>
      <c r="BV582" s="1"/>
      <c r="BW582" s="61">
        <f t="shared" si="399"/>
        <v>573</v>
      </c>
    </row>
    <row r="583" spans="2:75" x14ac:dyDescent="0.3">
      <c r="B583" s="158">
        <f t="shared" si="448"/>
        <v>44483</v>
      </c>
      <c r="C583" s="61"/>
      <c r="D583" s="17">
        <v>89680</v>
      </c>
      <c r="E583" s="16"/>
      <c r="F583" s="16"/>
      <c r="G583" s="16"/>
      <c r="H583" s="16">
        <f t="shared" si="473"/>
        <v>43137029</v>
      </c>
      <c r="I583" s="16"/>
      <c r="J583" s="436">
        <f t="shared" si="474"/>
        <v>2.0832874052244192E-3</v>
      </c>
      <c r="K583" s="16"/>
      <c r="L583" s="16"/>
      <c r="M583" s="16"/>
      <c r="N583" s="16">
        <f t="shared" si="475"/>
        <v>520042</v>
      </c>
      <c r="O583" s="16">
        <f t="shared" si="476"/>
        <v>75151.618466898959</v>
      </c>
      <c r="P583" s="41"/>
      <c r="Q583" s="17">
        <f t="shared" si="477"/>
        <v>520042</v>
      </c>
      <c r="R583" s="16"/>
      <c r="S583" s="60">
        <f t="shared" si="478"/>
        <v>-0.10266882698954176</v>
      </c>
      <c r="T583" s="16"/>
      <c r="U583" s="41"/>
      <c r="V583" s="10">
        <f t="shared" si="349"/>
        <v>475</v>
      </c>
      <c r="W583" s="34">
        <v>1654</v>
      </c>
      <c r="X583" s="33">
        <v>4256</v>
      </c>
      <c r="Y583" s="33"/>
      <c r="Z583" s="33">
        <f t="shared" si="479"/>
        <v>6819</v>
      </c>
      <c r="AA583" s="33">
        <f t="shared" si="480"/>
        <v>691605</v>
      </c>
      <c r="AB583" s="33"/>
      <c r="AC583" s="46">
        <f t="shared" si="481"/>
        <v>1.6032745324208581E-2</v>
      </c>
      <c r="AD583" s="33"/>
      <c r="AE583" s="33">
        <f t="shared" si="482"/>
        <v>1204.8867595818815</v>
      </c>
      <c r="AF583" s="50"/>
      <c r="AG583" s="33"/>
      <c r="AH583" s="33"/>
      <c r="AI583" s="213"/>
      <c r="AJ583" s="50"/>
      <c r="AK583" s="111"/>
      <c r="AL583" s="23">
        <f t="shared" si="485"/>
        <v>97806</v>
      </c>
      <c r="AM583" s="24"/>
      <c r="AN583" s="24"/>
      <c r="AO583" s="24">
        <v>178263</v>
      </c>
      <c r="AP583" s="24">
        <v>35205258</v>
      </c>
      <c r="AQ583" s="24">
        <v>20336656</v>
      </c>
      <c r="AR583" s="461">
        <f t="shared" si="486"/>
        <v>2.7859042575918069E-3</v>
      </c>
      <c r="AS583" s="25"/>
      <c r="AT583" s="25"/>
      <c r="AU583" s="24"/>
      <c r="AV583" s="298">
        <f t="shared" si="487"/>
        <v>0.81612616390433379</v>
      </c>
      <c r="AW583" s="298"/>
      <c r="AX583" s="24">
        <f t="shared" si="488"/>
        <v>61333.202090592335</v>
      </c>
      <c r="AY583" s="308"/>
      <c r="AZ583" s="111"/>
      <c r="BA583" s="65">
        <f t="shared" si="489"/>
        <v>1805837</v>
      </c>
      <c r="BB583" s="66"/>
      <c r="BC583" s="66">
        <v>665881144</v>
      </c>
      <c r="BD583" s="66"/>
      <c r="BE583" s="66">
        <f t="shared" si="490"/>
        <v>89680</v>
      </c>
      <c r="BF583" s="66"/>
      <c r="BG583" s="144">
        <f t="shared" si="491"/>
        <v>4.9661182044669593E-2</v>
      </c>
      <c r="BH583" s="66"/>
      <c r="BI583" s="170"/>
      <c r="BJ583" s="66"/>
      <c r="BK583" s="66"/>
      <c r="BL583" s="66"/>
      <c r="BM583" s="144"/>
      <c r="BN583" s="65">
        <f t="shared" si="494"/>
        <v>1160071.6794425086</v>
      </c>
      <c r="BO583" s="66"/>
      <c r="BP583" s="66">
        <f t="shared" si="495"/>
        <v>42230051</v>
      </c>
      <c r="BQ583" s="66"/>
      <c r="BR583" s="435">
        <f t="shared" si="496"/>
        <v>6.3419803039204248E-2</v>
      </c>
      <c r="BS583" s="66"/>
      <c r="BT583" s="75"/>
      <c r="BU583" s="170"/>
      <c r="BV583" s="1"/>
      <c r="BW583" s="61">
        <f t="shared" si="399"/>
        <v>574</v>
      </c>
    </row>
    <row r="584" spans="2:75" x14ac:dyDescent="0.3">
      <c r="B584" s="158">
        <f t="shared" si="448"/>
        <v>44484</v>
      </c>
      <c r="C584" s="61"/>
      <c r="D584" s="17">
        <v>92966</v>
      </c>
      <c r="E584" s="16"/>
      <c r="F584" s="16"/>
      <c r="G584" s="16"/>
      <c r="H584" s="16">
        <f t="shared" ref="H584:H615" si="497">+H583+D584</f>
        <v>43229995</v>
      </c>
      <c r="I584" s="16"/>
      <c r="J584" s="436">
        <f t="shared" ref="J584:J615" si="498">+D584/H583</f>
        <v>2.1551321951263727E-3</v>
      </c>
      <c r="K584" s="16"/>
      <c r="L584" s="16"/>
      <c r="M584" s="16"/>
      <c r="N584" s="16">
        <f t="shared" ref="N584:N615" si="499">SUM(D578:D584)</f>
        <v>506710</v>
      </c>
      <c r="O584" s="16">
        <f t="shared" ref="O584:O615" si="500">+H584/BW584</f>
        <v>75182.600000000006</v>
      </c>
      <c r="P584" s="41"/>
      <c r="Q584" s="17">
        <f t="shared" ref="Q584:Q615" si="501">SUM(D578:D584)</f>
        <v>506710</v>
      </c>
      <c r="R584" s="16"/>
      <c r="S584" s="60">
        <f t="shared" ref="S584:S615" si="502">+(Q584-Q577)/Q577</f>
        <v>-0.10311258219535724</v>
      </c>
      <c r="T584" s="16"/>
      <c r="U584" s="41"/>
      <c r="V584" s="10">
        <f t="shared" si="349"/>
        <v>476</v>
      </c>
      <c r="W584" s="34">
        <v>1705</v>
      </c>
      <c r="X584" s="33">
        <v>4256</v>
      </c>
      <c r="Y584" s="33"/>
      <c r="Z584" s="33">
        <f t="shared" ref="Z584:Z615" si="503">SUM(W579:W584)</f>
        <v>7943</v>
      </c>
      <c r="AA584" s="33">
        <f t="shared" ref="AA584:AA615" si="504">+AA583+W584</f>
        <v>693310</v>
      </c>
      <c r="AB584" s="33"/>
      <c r="AC584" s="46">
        <f t="shared" ref="AC584:AC615" si="505">+AA584/H584</f>
        <v>1.6037707152175243E-2</v>
      </c>
      <c r="AD584" s="33"/>
      <c r="AE584" s="33">
        <f t="shared" ref="AE584:AE615" si="506">+AA584/BW584</f>
        <v>1205.7565217391304</v>
      </c>
      <c r="AF584" s="50"/>
      <c r="AG584" s="33"/>
      <c r="AH584" s="33"/>
      <c r="AI584" s="213"/>
      <c r="AJ584" s="50"/>
      <c r="AK584" s="111"/>
      <c r="AL584" s="23">
        <f t="shared" ref="AL584:AL615" si="507">+AP584-AP583</f>
        <v>98839</v>
      </c>
      <c r="AM584" s="24"/>
      <c r="AN584" s="24"/>
      <c r="AO584" s="24">
        <v>178263</v>
      </c>
      <c r="AP584" s="24">
        <v>35304097</v>
      </c>
      <c r="AQ584" s="24">
        <v>20336656</v>
      </c>
      <c r="AR584" s="461">
        <f t="shared" ref="AR584:AR615" si="508">+AL584/AP583</f>
        <v>2.8075067650406085E-3</v>
      </c>
      <c r="AS584" s="25"/>
      <c r="AT584" s="25"/>
      <c r="AU584" s="24"/>
      <c r="AV584" s="298">
        <f t="shared" ref="AV584:AV615" si="509">+AP584/H584</f>
        <v>0.81665743889167697</v>
      </c>
      <c r="AW584" s="298"/>
      <c r="AX584" s="24">
        <f t="shared" ref="AX584:AX615" si="510">+AP584/BW584</f>
        <v>61398.42956521739</v>
      </c>
      <c r="AY584" s="308"/>
      <c r="AZ584" s="111"/>
      <c r="BA584" s="65">
        <f t="shared" ref="BA584:BA615" si="511">+BC584-BC583</f>
        <v>1950623</v>
      </c>
      <c r="BB584" s="66"/>
      <c r="BC584" s="66">
        <v>667831767</v>
      </c>
      <c r="BD584" s="66"/>
      <c r="BE584" s="66">
        <f t="shared" ref="BE584:BE615" si="512">+D584</f>
        <v>92966</v>
      </c>
      <c r="BF584" s="66"/>
      <c r="BG584" s="144">
        <f t="shared" ref="BG584:BG615" si="513">+BE584/BA584</f>
        <v>4.7659645149267696E-2</v>
      </c>
      <c r="BH584" s="66"/>
      <c r="BI584" s="170"/>
      <c r="BJ584" s="66"/>
      <c r="BK584" s="66"/>
      <c r="BL584" s="66"/>
      <c r="BM584" s="144"/>
      <c r="BN584" s="65">
        <f t="shared" ref="BN584:BN615" si="514">+BC584/BW584</f>
        <v>1161446.5513043478</v>
      </c>
      <c r="BO584" s="66"/>
      <c r="BP584" s="66">
        <f t="shared" ref="BP584:BP615" si="515">+BP583+BE584</f>
        <v>42323017</v>
      </c>
      <c r="BQ584" s="66"/>
      <c r="BR584" s="435">
        <f t="shared" ref="BR584:BR615" si="516">+BP584/BC584</f>
        <v>6.3373770298650683E-2</v>
      </c>
      <c r="BS584" s="66"/>
      <c r="BT584" s="75"/>
      <c r="BU584" s="170"/>
      <c r="BV584" s="1"/>
      <c r="BW584" s="61">
        <f t="shared" si="399"/>
        <v>575</v>
      </c>
    </row>
    <row r="585" spans="2:75" x14ac:dyDescent="0.3">
      <c r="B585" s="158">
        <f t="shared" si="448"/>
        <v>44485</v>
      </c>
      <c r="C585" s="61"/>
      <c r="D585" s="17">
        <v>33910</v>
      </c>
      <c r="E585" s="16"/>
      <c r="F585" s="16"/>
      <c r="G585" s="16"/>
      <c r="H585" s="16">
        <f t="shared" si="497"/>
        <v>43263905</v>
      </c>
      <c r="I585" s="16"/>
      <c r="J585" s="436">
        <f t="shared" si="498"/>
        <v>7.8440906597375274E-4</v>
      </c>
      <c r="K585" s="16"/>
      <c r="L585" s="16"/>
      <c r="M585" s="16"/>
      <c r="N585" s="16">
        <f t="shared" si="499"/>
        <v>498263</v>
      </c>
      <c r="O585" s="16">
        <f t="shared" si="500"/>
        <v>75110.946180555562</v>
      </c>
      <c r="P585" s="41"/>
      <c r="Q585" s="17">
        <f t="shared" si="501"/>
        <v>498263</v>
      </c>
      <c r="R585" s="16"/>
      <c r="S585" s="60">
        <f t="shared" si="502"/>
        <v>-0.11157727694173027</v>
      </c>
      <c r="T585" s="16"/>
      <c r="U585" s="41"/>
      <c r="V585" s="10">
        <f t="shared" si="349"/>
        <v>477</v>
      </c>
      <c r="W585" s="34">
        <v>464</v>
      </c>
      <c r="X585" s="33">
        <v>4256</v>
      </c>
      <c r="Y585" s="33"/>
      <c r="Z585" s="33">
        <f t="shared" si="503"/>
        <v>7890</v>
      </c>
      <c r="AA585" s="33">
        <f t="shared" si="504"/>
        <v>693774</v>
      </c>
      <c r="AB585" s="33"/>
      <c r="AC585" s="46">
        <f t="shared" si="505"/>
        <v>1.603586176513655E-2</v>
      </c>
      <c r="AD585" s="33"/>
      <c r="AE585" s="33">
        <f t="shared" si="506"/>
        <v>1204.46875</v>
      </c>
      <c r="AF585" s="50"/>
      <c r="AG585" s="33"/>
      <c r="AH585" s="33"/>
      <c r="AI585" s="213"/>
      <c r="AJ585" s="50"/>
      <c r="AK585" s="111"/>
      <c r="AL585" s="23">
        <f t="shared" si="507"/>
        <v>48246</v>
      </c>
      <c r="AM585" s="24"/>
      <c r="AN585" s="24"/>
      <c r="AO585" s="24">
        <v>178263</v>
      </c>
      <c r="AP585" s="24">
        <v>35352343</v>
      </c>
      <c r="AQ585" s="24">
        <v>20336656</v>
      </c>
      <c r="AR585" s="461">
        <f t="shared" si="508"/>
        <v>1.3665836007645232E-3</v>
      </c>
      <c r="AS585" s="25"/>
      <c r="AT585" s="25"/>
      <c r="AU585" s="24"/>
      <c r="AV585" s="298">
        <f t="shared" si="509"/>
        <v>0.81713250341133103</v>
      </c>
      <c r="AW585" s="298"/>
      <c r="AX585" s="24">
        <f t="shared" si="510"/>
        <v>61375.595486111109</v>
      </c>
      <c r="AY585" s="308"/>
      <c r="AZ585" s="111"/>
      <c r="BA585" s="65">
        <f t="shared" si="511"/>
        <v>543948</v>
      </c>
      <c r="BB585" s="66"/>
      <c r="BC585" s="66">
        <v>668375715</v>
      </c>
      <c r="BD585" s="66"/>
      <c r="BE585" s="66">
        <f t="shared" si="512"/>
        <v>33910</v>
      </c>
      <c r="BF585" s="66"/>
      <c r="BG585" s="144">
        <f t="shared" si="513"/>
        <v>6.2340517843617403E-2</v>
      </c>
      <c r="BH585" s="66"/>
      <c r="BI585" s="170"/>
      <c r="BJ585" s="66"/>
      <c r="BK585" s="66"/>
      <c r="BL585" s="66"/>
      <c r="BM585" s="144"/>
      <c r="BN585" s="65">
        <f t="shared" si="514"/>
        <v>1160374.5052083333</v>
      </c>
      <c r="BO585" s="66"/>
      <c r="BP585" s="66">
        <f t="shared" si="515"/>
        <v>42356927</v>
      </c>
      <c r="BQ585" s="66"/>
      <c r="BR585" s="435">
        <f t="shared" si="516"/>
        <v>6.3372929400943301E-2</v>
      </c>
      <c r="BS585" s="66"/>
      <c r="BT585" s="75"/>
      <c r="BU585" s="170"/>
      <c r="BV585" s="1"/>
      <c r="BW585" s="61">
        <f t="shared" si="399"/>
        <v>576</v>
      </c>
    </row>
    <row r="586" spans="2:75" x14ac:dyDescent="0.3">
      <c r="B586" s="347">
        <f t="shared" si="448"/>
        <v>44486</v>
      </c>
      <c r="C586" s="61"/>
      <c r="D586" s="17">
        <v>17947</v>
      </c>
      <c r="E586" s="16"/>
      <c r="F586" s="16"/>
      <c r="G586" s="16"/>
      <c r="H586" s="16">
        <f t="shared" si="497"/>
        <v>43281852</v>
      </c>
      <c r="I586" s="16"/>
      <c r="J586" s="436">
        <f t="shared" si="498"/>
        <v>4.1482616975975701E-4</v>
      </c>
      <c r="K586" s="16"/>
      <c r="L586" s="16"/>
      <c r="M586" s="16"/>
      <c r="N586" s="16">
        <f t="shared" si="499"/>
        <v>491516</v>
      </c>
      <c r="O586" s="16">
        <f t="shared" si="500"/>
        <v>75011.875216637782</v>
      </c>
      <c r="P586" s="41"/>
      <c r="Q586" s="17">
        <f t="shared" si="501"/>
        <v>491516</v>
      </c>
      <c r="R586" s="16"/>
      <c r="S586" s="60">
        <f t="shared" si="502"/>
        <v>-0.12009466506504643</v>
      </c>
      <c r="T586" s="16"/>
      <c r="U586" s="41"/>
      <c r="V586" s="10">
        <f t="shared" si="349"/>
        <v>478</v>
      </c>
      <c r="W586" s="34">
        <v>161</v>
      </c>
      <c r="X586" s="33">
        <v>4256</v>
      </c>
      <c r="Y586" s="33"/>
      <c r="Z586" s="33">
        <f t="shared" si="503"/>
        <v>7400</v>
      </c>
      <c r="AA586" s="33">
        <f t="shared" si="504"/>
        <v>693935</v>
      </c>
      <c r="AB586" s="33"/>
      <c r="AC586" s="46">
        <f t="shared" si="505"/>
        <v>1.6032932232197459E-2</v>
      </c>
      <c r="AD586" s="33"/>
      <c r="AE586" s="33">
        <f t="shared" si="506"/>
        <v>1202.6603119584056</v>
      </c>
      <c r="AF586" s="50"/>
      <c r="AG586" s="33"/>
      <c r="AH586" s="33"/>
      <c r="AI586" s="213"/>
      <c r="AJ586" s="50"/>
      <c r="AK586" s="111"/>
      <c r="AL586" s="23">
        <f t="shared" si="507"/>
        <v>22252</v>
      </c>
      <c r="AM586" s="24"/>
      <c r="AN586" s="24"/>
      <c r="AO586" s="24">
        <v>178263</v>
      </c>
      <c r="AP586" s="24">
        <v>35374595</v>
      </c>
      <c r="AQ586" s="24">
        <v>20336656</v>
      </c>
      <c r="AR586" s="461">
        <f t="shared" si="508"/>
        <v>6.294349429682779E-4</v>
      </c>
      <c r="AS586" s="25"/>
      <c r="AT586" s="25"/>
      <c r="AU586" s="24"/>
      <c r="AV586" s="298">
        <f t="shared" si="509"/>
        <v>0.81730779450010593</v>
      </c>
      <c r="AW586" s="298"/>
      <c r="AX586" s="24">
        <f t="shared" si="510"/>
        <v>61307.790294627383</v>
      </c>
      <c r="AY586" s="308"/>
      <c r="AZ586" s="111"/>
      <c r="BA586" s="65">
        <f t="shared" si="511"/>
        <v>393976</v>
      </c>
      <c r="BB586" s="66"/>
      <c r="BC586" s="66">
        <v>668769691</v>
      </c>
      <c r="BD586" s="66"/>
      <c r="BE586" s="66">
        <f t="shared" si="512"/>
        <v>17947</v>
      </c>
      <c r="BF586" s="66"/>
      <c r="BG586" s="144">
        <f t="shared" si="513"/>
        <v>4.5553536256015596E-2</v>
      </c>
      <c r="BH586" s="66"/>
      <c r="BI586" s="170"/>
      <c r="BJ586" s="66"/>
      <c r="BK586" s="66"/>
      <c r="BL586" s="66"/>
      <c r="BM586" s="144"/>
      <c r="BN586" s="65">
        <f t="shared" si="514"/>
        <v>1159046.2582322357</v>
      </c>
      <c r="BO586" s="66"/>
      <c r="BP586" s="66">
        <f t="shared" si="515"/>
        <v>42374874</v>
      </c>
      <c r="BQ586" s="66"/>
      <c r="BR586" s="435">
        <f t="shared" si="516"/>
        <v>6.3362431895855761E-2</v>
      </c>
      <c r="BS586" s="66"/>
      <c r="BT586" s="75"/>
      <c r="BU586" s="170"/>
      <c r="BV586" s="1"/>
      <c r="BW586" s="61">
        <f t="shared" si="399"/>
        <v>577</v>
      </c>
    </row>
    <row r="587" spans="2:75" x14ac:dyDescent="0.3">
      <c r="B587" s="158">
        <f t="shared" si="448"/>
        <v>44487</v>
      </c>
      <c r="C587" s="61"/>
      <c r="D587" s="17">
        <v>53135</v>
      </c>
      <c r="E587" s="16"/>
      <c r="F587" s="16"/>
      <c r="G587" s="16"/>
      <c r="H587" s="16">
        <f t="shared" si="497"/>
        <v>43334987</v>
      </c>
      <c r="I587" s="16"/>
      <c r="J587" s="436">
        <f t="shared" si="498"/>
        <v>1.2276507946101752E-3</v>
      </c>
      <c r="K587" s="16"/>
      <c r="L587" s="16"/>
      <c r="M587" s="16"/>
      <c r="N587" s="16">
        <f t="shared" si="499"/>
        <v>479660</v>
      </c>
      <c r="O587" s="16">
        <f t="shared" si="500"/>
        <v>74974.025951557094</v>
      </c>
      <c r="P587" s="41"/>
      <c r="Q587" s="17">
        <f t="shared" si="501"/>
        <v>479660</v>
      </c>
      <c r="R587" s="16"/>
      <c r="S587" s="60">
        <f t="shared" si="502"/>
        <v>-0.12767362052002043</v>
      </c>
      <c r="T587" s="16"/>
      <c r="U587" s="41"/>
      <c r="V587" s="10">
        <f t="shared" si="349"/>
        <v>479</v>
      </c>
      <c r="W587" s="34">
        <v>684</v>
      </c>
      <c r="X587" s="33">
        <v>4256</v>
      </c>
      <c r="Y587" s="33"/>
      <c r="Z587" s="33">
        <f t="shared" si="503"/>
        <v>6487</v>
      </c>
      <c r="AA587" s="33">
        <f t="shared" si="504"/>
        <v>694619</v>
      </c>
      <c r="AB587" s="33"/>
      <c r="AC587" s="46">
        <f t="shared" si="505"/>
        <v>1.602905753727352E-2</v>
      </c>
      <c r="AD587" s="33"/>
      <c r="AE587" s="33">
        <f t="shared" si="506"/>
        <v>1201.7629757785467</v>
      </c>
      <c r="AF587" s="50"/>
      <c r="AG587" s="33"/>
      <c r="AH587" s="33"/>
      <c r="AI587" s="213"/>
      <c r="AJ587" s="50"/>
      <c r="AK587" s="111"/>
      <c r="AL587" s="23">
        <f t="shared" si="507"/>
        <v>198915</v>
      </c>
      <c r="AM587" s="24"/>
      <c r="AN587" s="24"/>
      <c r="AO587" s="24">
        <v>178263</v>
      </c>
      <c r="AP587" s="24">
        <v>35573510</v>
      </c>
      <c r="AQ587" s="24">
        <v>20336656</v>
      </c>
      <c r="AR587" s="461">
        <f t="shared" si="508"/>
        <v>5.6231032468357593E-3</v>
      </c>
      <c r="AS587" s="25"/>
      <c r="AT587" s="25"/>
      <c r="AU587" s="24"/>
      <c r="AV587" s="298">
        <f t="shared" si="509"/>
        <v>0.82089582719847132</v>
      </c>
      <c r="AW587" s="298"/>
      <c r="AX587" s="24">
        <f t="shared" si="510"/>
        <v>61545.865051903114</v>
      </c>
      <c r="AY587" s="308"/>
      <c r="AZ587" s="111"/>
      <c r="BA587" s="65">
        <f t="shared" si="511"/>
        <v>3763587</v>
      </c>
      <c r="BB587" s="66"/>
      <c r="BC587" s="66">
        <v>672533278</v>
      </c>
      <c r="BD587" s="66"/>
      <c r="BE587" s="66">
        <f t="shared" si="512"/>
        <v>53135</v>
      </c>
      <c r="BF587" s="66"/>
      <c r="BG587" s="144">
        <f t="shared" si="513"/>
        <v>1.4118180342317051E-2</v>
      </c>
      <c r="BH587" s="66"/>
      <c r="BI587" s="170"/>
      <c r="BJ587" s="66"/>
      <c r="BK587" s="66"/>
      <c r="BL587" s="66"/>
      <c r="BM587" s="144"/>
      <c r="BN587" s="65">
        <f t="shared" si="514"/>
        <v>1163552.3840830449</v>
      </c>
      <c r="BO587" s="66"/>
      <c r="BP587" s="66">
        <f t="shared" si="515"/>
        <v>42428009</v>
      </c>
      <c r="BQ587" s="66"/>
      <c r="BR587" s="435">
        <f t="shared" si="516"/>
        <v>6.3086854417336358E-2</v>
      </c>
      <c r="BS587" s="66"/>
      <c r="BT587" s="75"/>
      <c r="BU587" s="170"/>
      <c r="BV587" s="1"/>
      <c r="BW587" s="61">
        <f t="shared" si="399"/>
        <v>578</v>
      </c>
    </row>
    <row r="588" spans="2:75" x14ac:dyDescent="0.3">
      <c r="B588" s="158">
        <f t="shared" si="448"/>
        <v>44488</v>
      </c>
      <c r="C588" s="61"/>
      <c r="D588" s="17">
        <v>71809</v>
      </c>
      <c r="E588" s="16"/>
      <c r="F588" s="16"/>
      <c r="G588" s="16"/>
      <c r="H588" s="16">
        <f t="shared" si="497"/>
        <v>43406796</v>
      </c>
      <c r="I588" s="16"/>
      <c r="J588" s="436">
        <f t="shared" si="498"/>
        <v>1.6570675329843759E-3</v>
      </c>
      <c r="K588" s="16"/>
      <c r="L588" s="16"/>
      <c r="M588" s="16"/>
      <c r="N588" s="16">
        <f t="shared" si="499"/>
        <v>459222</v>
      </c>
      <c r="O588" s="16">
        <f t="shared" si="500"/>
        <v>74968.559585492229</v>
      </c>
      <c r="P588" s="41"/>
      <c r="Q588" s="17">
        <f t="shared" si="501"/>
        <v>459222</v>
      </c>
      <c r="R588" s="16"/>
      <c r="S588" s="60">
        <f t="shared" si="502"/>
        <v>-0.16093031414272638</v>
      </c>
      <c r="T588" s="16"/>
      <c r="U588" s="41"/>
      <c r="V588" s="10">
        <f t="shared" si="349"/>
        <v>480</v>
      </c>
      <c r="W588" s="34">
        <v>1563</v>
      </c>
      <c r="X588" s="33">
        <v>4256</v>
      </c>
      <c r="Y588" s="33"/>
      <c r="Z588" s="33">
        <f t="shared" si="503"/>
        <v>6231</v>
      </c>
      <c r="AA588" s="33">
        <f t="shared" si="504"/>
        <v>696182</v>
      </c>
      <c r="AB588" s="33"/>
      <c r="AC588" s="46">
        <f t="shared" si="505"/>
        <v>1.6038548433752169E-2</v>
      </c>
      <c r="AD588" s="33"/>
      <c r="AE588" s="33">
        <f t="shared" si="506"/>
        <v>1202.3868739205527</v>
      </c>
      <c r="AF588" s="50"/>
      <c r="AG588" s="33"/>
      <c r="AH588" s="33"/>
      <c r="AI588" s="213"/>
      <c r="AJ588" s="50"/>
      <c r="AK588" s="111"/>
      <c r="AL588" s="23">
        <f t="shared" si="507"/>
        <v>136821</v>
      </c>
      <c r="AM588" s="24"/>
      <c r="AN588" s="24"/>
      <c r="AO588" s="24">
        <v>178263</v>
      </c>
      <c r="AP588" s="24">
        <v>35710331</v>
      </c>
      <c r="AQ588" s="24">
        <v>20336656</v>
      </c>
      <c r="AR588" s="461">
        <f t="shared" si="508"/>
        <v>3.8461484402298228E-3</v>
      </c>
      <c r="AS588" s="25"/>
      <c r="AT588" s="25"/>
      <c r="AU588" s="24"/>
      <c r="AV588" s="298">
        <f t="shared" si="509"/>
        <v>0.82268986174423009</v>
      </c>
      <c r="AW588" s="298"/>
      <c r="AX588" s="24">
        <f t="shared" si="510"/>
        <v>61675.87392055268</v>
      </c>
      <c r="AY588" s="308"/>
      <c r="AZ588" s="111"/>
      <c r="BA588" s="65">
        <f t="shared" si="511"/>
        <v>1445773</v>
      </c>
      <c r="BB588" s="66"/>
      <c r="BC588" s="66">
        <v>673979051</v>
      </c>
      <c r="BD588" s="66"/>
      <c r="BE588" s="66">
        <f t="shared" si="512"/>
        <v>71809</v>
      </c>
      <c r="BF588" s="66"/>
      <c r="BG588" s="144">
        <f t="shared" si="513"/>
        <v>4.9668239758246975E-2</v>
      </c>
      <c r="BH588" s="66"/>
      <c r="BI588" s="170"/>
      <c r="BJ588" s="66"/>
      <c r="BK588" s="66"/>
      <c r="BL588" s="66"/>
      <c r="BM588" s="144"/>
      <c r="BN588" s="65">
        <f t="shared" si="514"/>
        <v>1164039.8117443868</v>
      </c>
      <c r="BO588" s="66"/>
      <c r="BP588" s="66">
        <f t="shared" si="515"/>
        <v>42499818</v>
      </c>
      <c r="BQ588" s="66"/>
      <c r="BR588" s="435">
        <f t="shared" si="516"/>
        <v>6.3058069738134936E-2</v>
      </c>
      <c r="BS588" s="66"/>
      <c r="BT588" s="75"/>
      <c r="BU588" s="170"/>
      <c r="BV588" s="1"/>
      <c r="BW588" s="61">
        <f t="shared" si="399"/>
        <v>579</v>
      </c>
    </row>
    <row r="589" spans="2:75" x14ac:dyDescent="0.3">
      <c r="B589" s="158">
        <f t="shared" si="448"/>
        <v>44489</v>
      </c>
      <c r="C589" s="61"/>
      <c r="D589" s="17">
        <v>80425</v>
      </c>
      <c r="E589" s="16"/>
      <c r="F589" s="16"/>
      <c r="G589" s="16"/>
      <c r="H589" s="16">
        <f t="shared" si="497"/>
        <v>43487221</v>
      </c>
      <c r="I589" s="16"/>
      <c r="J589" s="436">
        <f t="shared" si="498"/>
        <v>1.8528204661776926E-3</v>
      </c>
      <c r="K589" s="16"/>
      <c r="L589" s="16"/>
      <c r="M589" s="16"/>
      <c r="N589" s="16">
        <f t="shared" si="499"/>
        <v>439872</v>
      </c>
      <c r="O589" s="16">
        <f t="shared" si="500"/>
        <v>74977.967241379316</v>
      </c>
      <c r="P589" s="41"/>
      <c r="Q589" s="17">
        <f t="shared" si="501"/>
        <v>439872</v>
      </c>
      <c r="R589" s="16"/>
      <c r="S589" s="60">
        <f t="shared" si="502"/>
        <v>-0.18404264988768046</v>
      </c>
      <c r="T589" s="16"/>
      <c r="U589" s="41"/>
      <c r="V589" s="10">
        <f t="shared" si="349"/>
        <v>481</v>
      </c>
      <c r="W589" s="34">
        <v>2005</v>
      </c>
      <c r="X589" s="33">
        <v>4256</v>
      </c>
      <c r="Y589" s="33"/>
      <c r="Z589" s="33">
        <f t="shared" si="503"/>
        <v>6582</v>
      </c>
      <c r="AA589" s="33">
        <f t="shared" si="504"/>
        <v>698187</v>
      </c>
      <c r="AB589" s="33"/>
      <c r="AC589" s="46">
        <f t="shared" si="505"/>
        <v>1.60549923390138E-2</v>
      </c>
      <c r="AD589" s="33"/>
      <c r="AE589" s="33">
        <f t="shared" si="506"/>
        <v>1203.7706896551724</v>
      </c>
      <c r="AF589" s="50"/>
      <c r="AG589" s="33"/>
      <c r="AH589" s="33"/>
      <c r="AI589" s="213"/>
      <c r="AJ589" s="50"/>
      <c r="AK589" s="111"/>
      <c r="AL589" s="23">
        <f t="shared" si="507"/>
        <v>103995</v>
      </c>
      <c r="AM589" s="24"/>
      <c r="AN589" s="24"/>
      <c r="AO589" s="24">
        <v>178263</v>
      </c>
      <c r="AP589" s="24">
        <v>35814326</v>
      </c>
      <c r="AQ589" s="24">
        <v>20336656</v>
      </c>
      <c r="AR589" s="461">
        <f t="shared" si="508"/>
        <v>2.9121824717894661E-3</v>
      </c>
      <c r="AS589" s="25"/>
      <c r="AT589" s="25"/>
      <c r="AU589" s="24"/>
      <c r="AV589" s="298">
        <f t="shared" si="509"/>
        <v>0.8235597763306145</v>
      </c>
      <c r="AW589" s="298"/>
      <c r="AX589" s="24">
        <f t="shared" si="510"/>
        <v>61748.837931034483</v>
      </c>
      <c r="AY589" s="308"/>
      <c r="AZ589" s="111"/>
      <c r="BA589" s="65">
        <f t="shared" si="511"/>
        <v>1636577</v>
      </c>
      <c r="BB589" s="66"/>
      <c r="BC589" s="66">
        <v>675615628</v>
      </c>
      <c r="BD589" s="66"/>
      <c r="BE589" s="66">
        <f t="shared" si="512"/>
        <v>80425</v>
      </c>
      <c r="BF589" s="66"/>
      <c r="BG589" s="144">
        <f t="shared" si="513"/>
        <v>4.9142203513797396E-2</v>
      </c>
      <c r="BH589" s="66"/>
      <c r="BI589" s="170"/>
      <c r="BJ589" s="66"/>
      <c r="BK589" s="66"/>
      <c r="BL589" s="66"/>
      <c r="BM589" s="144"/>
      <c r="BN589" s="65">
        <f t="shared" si="514"/>
        <v>1164854.5310344826</v>
      </c>
      <c r="BO589" s="66"/>
      <c r="BP589" s="66">
        <f t="shared" si="515"/>
        <v>42580243</v>
      </c>
      <c r="BQ589" s="66"/>
      <c r="BR589" s="435">
        <f t="shared" si="516"/>
        <v>6.3024360650224626E-2</v>
      </c>
      <c r="BS589" s="66"/>
      <c r="BT589" s="75"/>
      <c r="BU589" s="170"/>
      <c r="BV589" s="1"/>
      <c r="BW589" s="61">
        <f t="shared" si="399"/>
        <v>580</v>
      </c>
    </row>
    <row r="590" spans="2:75" x14ac:dyDescent="0.3">
      <c r="B590" s="158">
        <f t="shared" si="448"/>
        <v>44490</v>
      </c>
      <c r="C590" s="61"/>
      <c r="D590" s="17">
        <v>80835</v>
      </c>
      <c r="E590" s="16"/>
      <c r="F590" s="16"/>
      <c r="G590" s="16"/>
      <c r="H590" s="16">
        <f t="shared" si="497"/>
        <v>43568056</v>
      </c>
      <c r="I590" s="16"/>
      <c r="J590" s="436">
        <f t="shared" si="498"/>
        <v>1.8588219284005295E-3</v>
      </c>
      <c r="K590" s="16"/>
      <c r="L590" s="16"/>
      <c r="M590" s="16"/>
      <c r="N590" s="16">
        <f t="shared" si="499"/>
        <v>431027</v>
      </c>
      <c r="O590" s="16">
        <f t="shared" si="500"/>
        <v>74988.048192771079</v>
      </c>
      <c r="P590" s="41"/>
      <c r="Q590" s="17">
        <f t="shared" si="501"/>
        <v>431027</v>
      </c>
      <c r="R590" s="16"/>
      <c r="S590" s="60">
        <f t="shared" si="502"/>
        <v>-0.17116886712996257</v>
      </c>
      <c r="T590" s="16"/>
      <c r="U590" s="41"/>
      <c r="V590" s="10">
        <f t="shared" si="349"/>
        <v>482</v>
      </c>
      <c r="W590" s="34">
        <v>1428</v>
      </c>
      <c r="X590" s="33">
        <v>4256</v>
      </c>
      <c r="Y590" s="33"/>
      <c r="Z590" s="33">
        <f t="shared" si="503"/>
        <v>6305</v>
      </c>
      <c r="AA590" s="33">
        <f t="shared" si="504"/>
        <v>699615</v>
      </c>
      <c r="AB590" s="33"/>
      <c r="AC590" s="46">
        <f t="shared" si="505"/>
        <v>1.6057980645269095E-2</v>
      </c>
      <c r="AD590" s="33"/>
      <c r="AE590" s="33">
        <f t="shared" si="506"/>
        <v>1204.1566265060242</v>
      </c>
      <c r="AF590" s="50"/>
      <c r="AG590" s="33"/>
      <c r="AH590" s="33"/>
      <c r="AI590" s="213"/>
      <c r="AJ590" s="50"/>
      <c r="AK590" s="111"/>
      <c r="AL590" s="23">
        <f t="shared" si="507"/>
        <v>83715</v>
      </c>
      <c r="AM590" s="24"/>
      <c r="AN590" s="24"/>
      <c r="AO590" s="24">
        <v>178263</v>
      </c>
      <c r="AP590" s="24">
        <v>35898041</v>
      </c>
      <c r="AQ590" s="24">
        <v>20336656</v>
      </c>
      <c r="AR590" s="461">
        <f t="shared" si="508"/>
        <v>2.3374724404976936E-3</v>
      </c>
      <c r="AS590" s="25"/>
      <c r="AT590" s="25"/>
      <c r="AU590" s="24"/>
      <c r="AV590" s="298">
        <f t="shared" si="509"/>
        <v>0.82395324225620714</v>
      </c>
      <c r="AW590" s="298"/>
      <c r="AX590" s="24">
        <f t="shared" si="510"/>
        <v>61786.645438898449</v>
      </c>
      <c r="AY590" s="308"/>
      <c r="AZ590" s="111"/>
      <c r="BA590" s="65">
        <f t="shared" si="511"/>
        <v>1676971</v>
      </c>
      <c r="BB590" s="66"/>
      <c r="BC590" s="66">
        <v>677292599</v>
      </c>
      <c r="BD590" s="66"/>
      <c r="BE590" s="66">
        <f t="shared" si="512"/>
        <v>80835</v>
      </c>
      <c r="BF590" s="66"/>
      <c r="BG590" s="144">
        <f t="shared" si="513"/>
        <v>4.8202980254279888E-2</v>
      </c>
      <c r="BH590" s="66"/>
      <c r="BI590" s="170"/>
      <c r="BJ590" s="66"/>
      <c r="BK590" s="66"/>
      <c r="BL590" s="66"/>
      <c r="BM590" s="144"/>
      <c r="BN590" s="65">
        <f t="shared" si="514"/>
        <v>1165735.9707401032</v>
      </c>
      <c r="BO590" s="66"/>
      <c r="BP590" s="66">
        <f t="shared" si="515"/>
        <v>42661078</v>
      </c>
      <c r="BQ590" s="66"/>
      <c r="BR590" s="435">
        <f t="shared" si="516"/>
        <v>6.2987663032177912E-2</v>
      </c>
      <c r="BS590" s="66"/>
      <c r="BT590" s="75"/>
      <c r="BU590" s="170"/>
      <c r="BV590" s="1"/>
      <c r="BW590" s="61">
        <f t="shared" si="399"/>
        <v>581</v>
      </c>
    </row>
    <row r="591" spans="2:75" x14ac:dyDescent="0.3">
      <c r="B591" s="158">
        <f t="shared" si="448"/>
        <v>44491</v>
      </c>
      <c r="C591" s="61"/>
      <c r="D591" s="17">
        <v>82438</v>
      </c>
      <c r="E591" s="16"/>
      <c r="F591" s="16"/>
      <c r="G591" s="16"/>
      <c r="H591" s="16">
        <f t="shared" si="497"/>
        <v>43650494</v>
      </c>
      <c r="I591" s="16"/>
      <c r="J591" s="436">
        <f t="shared" si="498"/>
        <v>1.8921661319935873E-3</v>
      </c>
      <c r="K591" s="16"/>
      <c r="L591" s="16"/>
      <c r="M591" s="16"/>
      <c r="N591" s="16">
        <f t="shared" si="499"/>
        <v>420499</v>
      </c>
      <c r="O591" s="16">
        <f t="shared" si="500"/>
        <v>75000.848797250859</v>
      </c>
      <c r="P591" s="41"/>
      <c r="Q591" s="17">
        <f t="shared" si="501"/>
        <v>420499</v>
      </c>
      <c r="R591" s="16"/>
      <c r="S591" s="60">
        <f t="shared" si="502"/>
        <v>-0.17013873813423852</v>
      </c>
      <c r="T591" s="16"/>
      <c r="U591" s="41"/>
      <c r="V591" s="10">
        <f t="shared" si="349"/>
        <v>483</v>
      </c>
      <c r="W591" s="34">
        <v>1610</v>
      </c>
      <c r="X591" s="33">
        <v>4256</v>
      </c>
      <c r="Y591" s="33"/>
      <c r="Z591" s="33">
        <f t="shared" si="503"/>
        <v>7451</v>
      </c>
      <c r="AA591" s="33">
        <f t="shared" si="504"/>
        <v>701225</v>
      </c>
      <c r="AB591" s="33"/>
      <c r="AC591" s="46">
        <f t="shared" si="505"/>
        <v>1.6064537551396325E-2</v>
      </c>
      <c r="AD591" s="33"/>
      <c r="AE591" s="33">
        <f t="shared" si="506"/>
        <v>1204.8539518900343</v>
      </c>
      <c r="AF591" s="50"/>
      <c r="AG591" s="33"/>
      <c r="AH591" s="33"/>
      <c r="AI591" s="213"/>
      <c r="AJ591" s="50"/>
      <c r="AK591" s="111"/>
      <c r="AL591" s="23">
        <f t="shared" si="507"/>
        <v>102780</v>
      </c>
      <c r="AM591" s="24"/>
      <c r="AN591" s="24"/>
      <c r="AO591" s="24">
        <v>178263</v>
      </c>
      <c r="AP591" s="24">
        <v>36000821</v>
      </c>
      <c r="AQ591" s="24">
        <v>20336656</v>
      </c>
      <c r="AR591" s="461">
        <f t="shared" si="508"/>
        <v>2.8631088810667968E-3</v>
      </c>
      <c r="AS591" s="25"/>
      <c r="AT591" s="25"/>
      <c r="AU591" s="24"/>
      <c r="AV591" s="298">
        <f t="shared" si="509"/>
        <v>0.82475174278669106</v>
      </c>
      <c r="AW591" s="298"/>
      <c r="AX591" s="24">
        <f t="shared" si="510"/>
        <v>61857.080756013747</v>
      </c>
      <c r="AY591" s="308"/>
      <c r="AZ591" s="111"/>
      <c r="BA591" s="65">
        <f t="shared" si="511"/>
        <v>1815348</v>
      </c>
      <c r="BB591" s="66"/>
      <c r="BC591" s="66">
        <v>679107947</v>
      </c>
      <c r="BD591" s="66"/>
      <c r="BE591" s="66">
        <f t="shared" si="512"/>
        <v>82438</v>
      </c>
      <c r="BF591" s="66"/>
      <c r="BG591" s="144">
        <f t="shared" si="513"/>
        <v>4.5411678642331942E-2</v>
      </c>
      <c r="BH591" s="66"/>
      <c r="BI591" s="170"/>
      <c r="BJ591" s="66"/>
      <c r="BK591" s="66"/>
      <c r="BL591" s="66"/>
      <c r="BM591" s="144"/>
      <c r="BN591" s="65">
        <f t="shared" si="514"/>
        <v>1166852.1426116838</v>
      </c>
      <c r="BO591" s="66"/>
      <c r="BP591" s="66">
        <f t="shared" si="515"/>
        <v>42743516</v>
      </c>
      <c r="BQ591" s="66"/>
      <c r="BR591" s="435">
        <f t="shared" si="516"/>
        <v>6.2940680033008067E-2</v>
      </c>
      <c r="BS591" s="66"/>
      <c r="BT591" s="75"/>
      <c r="BU591" s="170"/>
      <c r="BV591" s="1"/>
      <c r="BW591" s="61">
        <f t="shared" si="399"/>
        <v>582</v>
      </c>
    </row>
    <row r="592" spans="2:75" x14ac:dyDescent="0.3">
      <c r="B592" s="158">
        <f t="shared" si="448"/>
        <v>44492</v>
      </c>
      <c r="C592" s="61"/>
      <c r="D592" s="17">
        <v>28824</v>
      </c>
      <c r="E592" s="16"/>
      <c r="F592" s="16"/>
      <c r="G592" s="16"/>
      <c r="H592" s="16">
        <f t="shared" si="497"/>
        <v>43679318</v>
      </c>
      <c r="I592" s="16"/>
      <c r="J592" s="436">
        <f t="shared" si="498"/>
        <v>6.603361693913476E-4</v>
      </c>
      <c r="K592" s="16"/>
      <c r="L592" s="16"/>
      <c r="M592" s="16"/>
      <c r="N592" s="16">
        <f t="shared" si="499"/>
        <v>415413</v>
      </c>
      <c r="O592" s="16">
        <f t="shared" si="500"/>
        <v>74921.64322469983</v>
      </c>
      <c r="P592" s="41"/>
      <c r="Q592" s="17">
        <f t="shared" si="501"/>
        <v>415413</v>
      </c>
      <c r="R592" s="16"/>
      <c r="S592" s="60">
        <f t="shared" si="502"/>
        <v>-0.16627764855106641</v>
      </c>
      <c r="T592" s="16"/>
      <c r="U592" s="41"/>
      <c r="V592" s="10">
        <f t="shared" si="349"/>
        <v>484</v>
      </c>
      <c r="W592" s="34">
        <v>484</v>
      </c>
      <c r="X592" s="33">
        <v>4256</v>
      </c>
      <c r="Y592" s="33"/>
      <c r="Z592" s="33">
        <f t="shared" si="503"/>
        <v>7774</v>
      </c>
      <c r="AA592" s="33">
        <f t="shared" si="504"/>
        <v>701709</v>
      </c>
      <c r="AB592" s="33"/>
      <c r="AC592" s="46">
        <f t="shared" si="505"/>
        <v>1.6065017315517609E-2</v>
      </c>
      <c r="AD592" s="33"/>
      <c r="AE592" s="33">
        <f t="shared" si="506"/>
        <v>1203.6174957118353</v>
      </c>
      <c r="AF592" s="50"/>
      <c r="AG592" s="33"/>
      <c r="AH592" s="33"/>
      <c r="AI592" s="213"/>
      <c r="AJ592" s="50"/>
      <c r="AK592" s="111"/>
      <c r="AL592" s="23">
        <f t="shared" si="507"/>
        <v>33065</v>
      </c>
      <c r="AM592" s="24"/>
      <c r="AN592" s="24"/>
      <c r="AO592" s="24">
        <v>178263</v>
      </c>
      <c r="AP592" s="24">
        <v>36033886</v>
      </c>
      <c r="AQ592" s="24">
        <v>20336656</v>
      </c>
      <c r="AR592" s="461">
        <f t="shared" si="508"/>
        <v>9.1845127643061248E-4</v>
      </c>
      <c r="AS592" s="25"/>
      <c r="AT592" s="25"/>
      <c r="AU592" s="24"/>
      <c r="AV592" s="298">
        <f t="shared" si="509"/>
        <v>0.82496448319087767</v>
      </c>
      <c r="AW592" s="298"/>
      <c r="AX592" s="24">
        <f t="shared" si="510"/>
        <v>61807.694682675814</v>
      </c>
      <c r="AY592" s="308"/>
      <c r="AZ592" s="111"/>
      <c r="BA592" s="65">
        <f t="shared" si="511"/>
        <v>472974</v>
      </c>
      <c r="BB592" s="66"/>
      <c r="BC592" s="66">
        <v>679580921</v>
      </c>
      <c r="BD592" s="66"/>
      <c r="BE592" s="66">
        <f t="shared" si="512"/>
        <v>28824</v>
      </c>
      <c r="BF592" s="66"/>
      <c r="BG592" s="144">
        <f t="shared" si="513"/>
        <v>6.0942039097286529E-2</v>
      </c>
      <c r="BH592" s="66"/>
      <c r="BI592" s="170"/>
      <c r="BJ592" s="66"/>
      <c r="BK592" s="66"/>
      <c r="BL592" s="66"/>
      <c r="BM592" s="144"/>
      <c r="BN592" s="65">
        <f t="shared" si="514"/>
        <v>1165661.9571183533</v>
      </c>
      <c r="BO592" s="66"/>
      <c r="BP592" s="66">
        <f t="shared" si="515"/>
        <v>42772340</v>
      </c>
      <c r="BQ592" s="66"/>
      <c r="BR592" s="435">
        <f t="shared" si="516"/>
        <v>6.2939289021034781E-2</v>
      </c>
      <c r="BS592" s="66"/>
      <c r="BT592" s="75"/>
      <c r="BU592" s="170"/>
      <c r="BV592" s="1"/>
      <c r="BW592" s="61">
        <f t="shared" si="399"/>
        <v>583</v>
      </c>
    </row>
    <row r="593" spans="2:75" x14ac:dyDescent="0.3">
      <c r="B593" s="347">
        <f t="shared" si="448"/>
        <v>44493</v>
      </c>
      <c r="C593" s="61"/>
      <c r="D593" s="17">
        <v>17580</v>
      </c>
      <c r="E593" s="16"/>
      <c r="F593" s="16"/>
      <c r="G593" s="16"/>
      <c r="H593" s="16">
        <f t="shared" si="497"/>
        <v>43696898</v>
      </c>
      <c r="I593" s="16"/>
      <c r="J593" s="436">
        <f t="shared" si="498"/>
        <v>4.0247881159682941E-4</v>
      </c>
      <c r="K593" s="16"/>
      <c r="L593" s="16"/>
      <c r="M593" s="16"/>
      <c r="N593" s="16">
        <f t="shared" si="499"/>
        <v>415046</v>
      </c>
      <c r="O593" s="16">
        <f t="shared" si="500"/>
        <v>74823.455479452052</v>
      </c>
      <c r="P593" s="41"/>
      <c r="Q593" s="17">
        <f t="shared" si="501"/>
        <v>415046</v>
      </c>
      <c r="R593" s="16"/>
      <c r="S593" s="60">
        <f t="shared" si="502"/>
        <v>-0.15557987939354975</v>
      </c>
      <c r="T593" s="16"/>
      <c r="U593" s="41"/>
      <c r="V593" s="10">
        <f t="shared" si="349"/>
        <v>485</v>
      </c>
      <c r="W593" s="34">
        <v>157</v>
      </c>
      <c r="X593" s="33">
        <v>4256</v>
      </c>
      <c r="Y593" s="33"/>
      <c r="Z593" s="33">
        <f t="shared" si="503"/>
        <v>7247</v>
      </c>
      <c r="AA593" s="33">
        <f t="shared" si="504"/>
        <v>701866</v>
      </c>
      <c r="AB593" s="33"/>
      <c r="AC593" s="46">
        <f t="shared" si="505"/>
        <v>1.6062147020138591E-2</v>
      </c>
      <c r="AD593" s="33"/>
      <c r="AE593" s="33">
        <f t="shared" si="506"/>
        <v>1201.8253424657535</v>
      </c>
      <c r="AF593" s="50"/>
      <c r="AG593" s="33"/>
      <c r="AH593" s="33"/>
      <c r="AI593" s="213"/>
      <c r="AJ593" s="50"/>
      <c r="AK593" s="111"/>
      <c r="AL593" s="23">
        <f t="shared" si="507"/>
        <v>18728</v>
      </c>
      <c r="AM593" s="24"/>
      <c r="AN593" s="24"/>
      <c r="AO593" s="24">
        <v>178263</v>
      </c>
      <c r="AP593" s="24">
        <v>36052614</v>
      </c>
      <c r="AQ593" s="24">
        <v>20336656</v>
      </c>
      <c r="AR593" s="461">
        <f t="shared" si="508"/>
        <v>5.1973300909038782E-4</v>
      </c>
      <c r="AS593" s="25"/>
      <c r="AT593" s="25"/>
      <c r="AU593" s="24"/>
      <c r="AV593" s="298">
        <f t="shared" si="509"/>
        <v>0.82506117482298169</v>
      </c>
      <c r="AW593" s="298"/>
      <c r="AX593" s="24">
        <f t="shared" si="510"/>
        <v>61733.928082191778</v>
      </c>
      <c r="AY593" s="308"/>
      <c r="AZ593" s="111"/>
      <c r="BA593" s="65">
        <f t="shared" si="511"/>
        <v>377616</v>
      </c>
      <c r="BB593" s="66"/>
      <c r="BC593" s="66">
        <v>679958537</v>
      </c>
      <c r="BD593" s="66"/>
      <c r="BE593" s="66">
        <f t="shared" si="512"/>
        <v>17580</v>
      </c>
      <c r="BF593" s="66"/>
      <c r="BG593" s="144">
        <f t="shared" si="513"/>
        <v>4.6555230710563111E-2</v>
      </c>
      <c r="BH593" s="66"/>
      <c r="BI593" s="170"/>
      <c r="BJ593" s="66"/>
      <c r="BK593" s="66"/>
      <c r="BL593" s="66"/>
      <c r="BM593" s="144"/>
      <c r="BN593" s="65">
        <f t="shared" si="514"/>
        <v>1164312.5633561644</v>
      </c>
      <c r="BO593" s="66"/>
      <c r="BP593" s="66">
        <f t="shared" si="515"/>
        <v>42789920</v>
      </c>
      <c r="BQ593" s="66"/>
      <c r="BR593" s="435">
        <f t="shared" si="516"/>
        <v>6.2930190109518405E-2</v>
      </c>
      <c r="BS593" s="66"/>
      <c r="BT593" s="75"/>
      <c r="BU593" s="170"/>
      <c r="BV593" s="1"/>
      <c r="BW593" s="61">
        <f t="shared" si="399"/>
        <v>584</v>
      </c>
    </row>
    <row r="594" spans="2:75" x14ac:dyDescent="0.3">
      <c r="B594" s="158">
        <f t="shared" si="448"/>
        <v>44494</v>
      </c>
      <c r="C594" s="61"/>
      <c r="D594" s="17">
        <v>48771</v>
      </c>
      <c r="E594" s="16"/>
      <c r="F594" s="16"/>
      <c r="G594" s="16"/>
      <c r="H594" s="16">
        <f t="shared" si="497"/>
        <v>43745669</v>
      </c>
      <c r="I594" s="16"/>
      <c r="J594" s="436">
        <f t="shared" si="498"/>
        <v>1.1161204166025699E-3</v>
      </c>
      <c r="K594" s="16"/>
      <c r="L594" s="16"/>
      <c r="M594" s="16"/>
      <c r="N594" s="16">
        <f t="shared" si="499"/>
        <v>410682</v>
      </c>
      <c r="O594" s="16">
        <f t="shared" si="500"/>
        <v>74778.921367521369</v>
      </c>
      <c r="P594" s="41"/>
      <c r="Q594" s="17">
        <f t="shared" si="501"/>
        <v>410682</v>
      </c>
      <c r="R594" s="16"/>
      <c r="S594" s="60">
        <f t="shared" si="502"/>
        <v>-0.14380602927073344</v>
      </c>
      <c r="T594" s="16"/>
      <c r="U594" s="41"/>
      <c r="V594" s="10">
        <f t="shared" si="349"/>
        <v>486</v>
      </c>
      <c r="W594" s="34">
        <v>510</v>
      </c>
      <c r="X594" s="33">
        <v>4256</v>
      </c>
      <c r="Y594" s="33"/>
      <c r="Z594" s="33">
        <f t="shared" si="503"/>
        <v>6194</v>
      </c>
      <c r="AA594" s="33">
        <f t="shared" si="504"/>
        <v>702376</v>
      </c>
      <c r="AB594" s="33"/>
      <c r="AC594" s="46">
        <f t="shared" si="505"/>
        <v>1.6055898013583928E-2</v>
      </c>
      <c r="AD594" s="33"/>
      <c r="AE594" s="33">
        <f t="shared" si="506"/>
        <v>1200.642735042735</v>
      </c>
      <c r="AF594" s="50"/>
      <c r="AG594" s="33"/>
      <c r="AH594" s="33"/>
      <c r="AI594" s="213"/>
      <c r="AJ594" s="50"/>
      <c r="AK594" s="111"/>
      <c r="AL594" s="23">
        <f t="shared" si="507"/>
        <v>218713</v>
      </c>
      <c r="AM594" s="24"/>
      <c r="AN594" s="24"/>
      <c r="AO594" s="24">
        <v>178263</v>
      </c>
      <c r="AP594" s="24">
        <v>36271327</v>
      </c>
      <c r="AQ594" s="24">
        <v>20336656</v>
      </c>
      <c r="AR594" s="461">
        <f t="shared" si="508"/>
        <v>6.0664949287727102E-3</v>
      </c>
      <c r="AS594" s="25"/>
      <c r="AT594" s="25"/>
      <c r="AU594" s="24"/>
      <c r="AV594" s="298">
        <f t="shared" si="509"/>
        <v>0.82914098307651896</v>
      </c>
      <c r="AW594" s="298"/>
      <c r="AX594" s="24">
        <f t="shared" si="510"/>
        <v>62002.268376068379</v>
      </c>
      <c r="AY594" s="308"/>
      <c r="AZ594" s="111"/>
      <c r="BA594" s="65">
        <f t="shared" si="511"/>
        <v>10304065</v>
      </c>
      <c r="BB594" s="66"/>
      <c r="BC594" s="66">
        <v>690262602</v>
      </c>
      <c r="BD594" s="66"/>
      <c r="BE594" s="66">
        <f t="shared" si="512"/>
        <v>48771</v>
      </c>
      <c r="BF594" s="66"/>
      <c r="BG594" s="144">
        <f t="shared" si="513"/>
        <v>4.7331805457360761E-3</v>
      </c>
      <c r="BH594" s="66"/>
      <c r="BI594" s="170"/>
      <c r="BJ594" s="66"/>
      <c r="BK594" s="66"/>
      <c r="BL594" s="66"/>
      <c r="BM594" s="144"/>
      <c r="BN594" s="65">
        <f t="shared" si="514"/>
        <v>1179936.0717948717</v>
      </c>
      <c r="BO594" s="66"/>
      <c r="BP594" s="66">
        <f t="shared" si="515"/>
        <v>42838691</v>
      </c>
      <c r="BQ594" s="66"/>
      <c r="BR594" s="435">
        <f t="shared" si="516"/>
        <v>6.2061439915587373E-2</v>
      </c>
      <c r="BS594" s="66"/>
      <c r="BT594" s="75"/>
      <c r="BU594" s="170"/>
      <c r="BV594" s="1"/>
      <c r="BW594" s="61">
        <f t="shared" si="399"/>
        <v>585</v>
      </c>
    </row>
    <row r="595" spans="2:75" x14ac:dyDescent="0.3">
      <c r="B595" s="158">
        <f t="shared" si="448"/>
        <v>44495</v>
      </c>
      <c r="C595" s="61"/>
      <c r="D595" s="17">
        <v>69634</v>
      </c>
      <c r="E595" s="16"/>
      <c r="F595" s="16"/>
      <c r="G595" s="16"/>
      <c r="H595" s="16">
        <f t="shared" si="497"/>
        <v>43815303</v>
      </c>
      <c r="I595" s="16"/>
      <c r="J595" s="436">
        <f t="shared" si="498"/>
        <v>1.5917918640128694E-3</v>
      </c>
      <c r="K595" s="16"/>
      <c r="L595" s="16"/>
      <c r="M595" s="16"/>
      <c r="N595" s="16">
        <f t="shared" si="499"/>
        <v>408507</v>
      </c>
      <c r="O595" s="16">
        <f t="shared" si="500"/>
        <v>74770.14163822525</v>
      </c>
      <c r="P595" s="41"/>
      <c r="Q595" s="17">
        <f t="shared" si="501"/>
        <v>408507</v>
      </c>
      <c r="R595" s="16"/>
      <c r="S595" s="60">
        <f t="shared" si="502"/>
        <v>-0.11043678220991154</v>
      </c>
      <c r="T595" s="16"/>
      <c r="U595" s="41"/>
      <c r="V595" s="10">
        <f t="shared" si="349"/>
        <v>487</v>
      </c>
      <c r="W595" s="34">
        <v>1451</v>
      </c>
      <c r="X595" s="33">
        <v>4256</v>
      </c>
      <c r="Y595" s="33"/>
      <c r="Z595" s="33">
        <f t="shared" si="503"/>
        <v>5640</v>
      </c>
      <c r="AA595" s="33">
        <f t="shared" si="504"/>
        <v>703827</v>
      </c>
      <c r="AB595" s="33"/>
      <c r="AC595" s="46">
        <f t="shared" si="505"/>
        <v>1.6063497267153441E-2</v>
      </c>
      <c r="AD595" s="33"/>
      <c r="AE595" s="33">
        <f t="shared" si="506"/>
        <v>1201.0699658703072</v>
      </c>
      <c r="AF595" s="50"/>
      <c r="AG595" s="33"/>
      <c r="AH595" s="33"/>
      <c r="AI595" s="213"/>
      <c r="AJ595" s="50"/>
      <c r="AK595" s="111"/>
      <c r="AL595" s="23">
        <f t="shared" si="507"/>
        <v>103862</v>
      </c>
      <c r="AM595" s="24"/>
      <c r="AN595" s="24"/>
      <c r="AO595" s="24">
        <v>178263</v>
      </c>
      <c r="AP595" s="24">
        <v>36375189</v>
      </c>
      <c r="AQ595" s="24">
        <v>20336656</v>
      </c>
      <c r="AR595" s="461">
        <f t="shared" si="508"/>
        <v>2.8634739500983794E-3</v>
      </c>
      <c r="AS595" s="25"/>
      <c r="AT595" s="25"/>
      <c r="AU595" s="24"/>
      <c r="AV595" s="298">
        <f t="shared" si="509"/>
        <v>0.83019371108765361</v>
      </c>
      <c r="AW595" s="298"/>
      <c r="AX595" s="24">
        <f t="shared" si="510"/>
        <v>62073.701365187713</v>
      </c>
      <c r="AY595" s="308"/>
      <c r="AZ595" s="111"/>
      <c r="BA595" s="65">
        <f t="shared" si="511"/>
        <v>2553451</v>
      </c>
      <c r="BB595" s="66"/>
      <c r="BC595" s="66">
        <v>692816053</v>
      </c>
      <c r="BD595" s="66"/>
      <c r="BE595" s="66">
        <f t="shared" si="512"/>
        <v>69634</v>
      </c>
      <c r="BF595" s="66"/>
      <c r="BG595" s="144">
        <f t="shared" si="513"/>
        <v>2.7270544843037911E-2</v>
      </c>
      <c r="BH595" s="66"/>
      <c r="BI595" s="170"/>
      <c r="BJ595" s="66"/>
      <c r="BK595" s="66"/>
      <c r="BL595" s="66"/>
      <c r="BM595" s="144"/>
      <c r="BN595" s="65">
        <f t="shared" si="514"/>
        <v>1182279.9539249146</v>
      </c>
      <c r="BO595" s="66"/>
      <c r="BP595" s="66">
        <f t="shared" si="515"/>
        <v>42908325</v>
      </c>
      <c r="BQ595" s="66"/>
      <c r="BR595" s="435">
        <f t="shared" si="516"/>
        <v>6.1933214183188104E-2</v>
      </c>
      <c r="BS595" s="66"/>
      <c r="BT595" s="75"/>
      <c r="BU595" s="170"/>
      <c r="BV595" s="1"/>
      <c r="BW595" s="61">
        <f t="shared" si="399"/>
        <v>586</v>
      </c>
    </row>
    <row r="596" spans="2:75" x14ac:dyDescent="0.3">
      <c r="B596" s="158">
        <f t="shared" si="448"/>
        <v>44496</v>
      </c>
      <c r="C596" s="61"/>
      <c r="D596" s="17">
        <v>78932</v>
      </c>
      <c r="E596" s="16"/>
      <c r="F596" s="16"/>
      <c r="G596" s="16"/>
      <c r="H596" s="16">
        <f t="shared" si="497"/>
        <v>43894235</v>
      </c>
      <c r="I596" s="16"/>
      <c r="J596" s="436">
        <f t="shared" si="498"/>
        <v>1.8014710522485716E-3</v>
      </c>
      <c r="K596" s="16"/>
      <c r="L596" s="16"/>
      <c r="M596" s="16"/>
      <c r="N596" s="16">
        <f t="shared" si="499"/>
        <v>407014</v>
      </c>
      <c r="O596" s="16">
        <f t="shared" si="500"/>
        <v>74777.231686541738</v>
      </c>
      <c r="P596" s="41"/>
      <c r="Q596" s="17">
        <f t="shared" si="501"/>
        <v>407014</v>
      </c>
      <c r="R596" s="16"/>
      <c r="S596" s="60">
        <f t="shared" si="502"/>
        <v>-7.4699003346428053E-2</v>
      </c>
      <c r="T596" s="16"/>
      <c r="U596" s="41"/>
      <c r="V596" s="10">
        <f t="shared" si="349"/>
        <v>488</v>
      </c>
      <c r="W596" s="34">
        <v>1594</v>
      </c>
      <c r="X596" s="33">
        <v>4256</v>
      </c>
      <c r="Y596" s="33"/>
      <c r="Z596" s="33">
        <f t="shared" si="503"/>
        <v>5806</v>
      </c>
      <c r="AA596" s="33">
        <f t="shared" si="504"/>
        <v>705421</v>
      </c>
      <c r="AB596" s="33"/>
      <c r="AC596" s="46">
        <f t="shared" si="505"/>
        <v>1.6070925942780413E-2</v>
      </c>
      <c r="AD596" s="33"/>
      <c r="AE596" s="33">
        <f t="shared" si="506"/>
        <v>1201.7393526405451</v>
      </c>
      <c r="AF596" s="50"/>
      <c r="AG596" s="33"/>
      <c r="AH596" s="33"/>
      <c r="AI596" s="213"/>
      <c r="AJ596" s="50"/>
      <c r="AK596" s="111"/>
      <c r="AL596" s="23">
        <f t="shared" si="507"/>
        <v>101567</v>
      </c>
      <c r="AM596" s="24"/>
      <c r="AN596" s="24"/>
      <c r="AO596" s="24">
        <v>178263</v>
      </c>
      <c r="AP596" s="24">
        <v>36476756</v>
      </c>
      <c r="AQ596" s="24">
        <v>20336656</v>
      </c>
      <c r="AR596" s="461">
        <f t="shared" si="508"/>
        <v>2.7922054233175254E-3</v>
      </c>
      <c r="AS596" s="25"/>
      <c r="AT596" s="25"/>
      <c r="AU596" s="24"/>
      <c r="AV596" s="298">
        <f t="shared" si="509"/>
        <v>0.83101473348379351</v>
      </c>
      <c r="AW596" s="298"/>
      <c r="AX596" s="24">
        <f t="shared" si="510"/>
        <v>62140.981260647357</v>
      </c>
      <c r="AY596" s="308"/>
      <c r="AZ596" s="111"/>
      <c r="BA596" s="65">
        <f t="shared" si="511"/>
        <v>1500941</v>
      </c>
      <c r="BB596" s="66"/>
      <c r="BC596" s="66">
        <v>694316994</v>
      </c>
      <c r="BD596" s="66"/>
      <c r="BE596" s="66">
        <f t="shared" si="512"/>
        <v>78932</v>
      </c>
      <c r="BF596" s="66"/>
      <c r="BG596" s="144">
        <f t="shared" si="513"/>
        <v>5.2588342912879317E-2</v>
      </c>
      <c r="BH596" s="66"/>
      <c r="BI596" s="170"/>
      <c r="BJ596" s="66"/>
      <c r="BK596" s="66"/>
      <c r="BL596" s="66"/>
      <c r="BM596" s="144"/>
      <c r="BN596" s="65">
        <f t="shared" si="514"/>
        <v>1182822.8177172062</v>
      </c>
      <c r="BO596" s="66"/>
      <c r="BP596" s="66">
        <f t="shared" si="515"/>
        <v>42987257</v>
      </c>
      <c r="BQ596" s="66"/>
      <c r="BR596" s="435">
        <f t="shared" si="516"/>
        <v>6.1913012891054199E-2</v>
      </c>
      <c r="BS596" s="66"/>
      <c r="BT596" s="75"/>
      <c r="BU596" s="170"/>
      <c r="BV596" s="1"/>
      <c r="BW596" s="61">
        <f t="shared" si="399"/>
        <v>587</v>
      </c>
    </row>
    <row r="597" spans="2:75" x14ac:dyDescent="0.3">
      <c r="B597" s="158">
        <f t="shared" si="448"/>
        <v>44497</v>
      </c>
      <c r="C597" s="61"/>
      <c r="D597" s="17">
        <v>78460</v>
      </c>
      <c r="E597" s="16"/>
      <c r="F597" s="16"/>
      <c r="G597" s="16"/>
      <c r="H597" s="16">
        <f t="shared" si="497"/>
        <v>43972695</v>
      </c>
      <c r="I597" s="16"/>
      <c r="J597" s="436">
        <f t="shared" si="498"/>
        <v>1.7874784695530062E-3</v>
      </c>
      <c r="K597" s="16"/>
      <c r="L597" s="16"/>
      <c r="M597" s="16"/>
      <c r="N597" s="16">
        <f t="shared" si="499"/>
        <v>404639</v>
      </c>
      <c r="O597" s="16">
        <f t="shared" si="500"/>
        <v>74783.494897959186</v>
      </c>
      <c r="P597" s="41"/>
      <c r="Q597" s="17">
        <f t="shared" si="501"/>
        <v>404639</v>
      </c>
      <c r="R597" s="16"/>
      <c r="S597" s="60">
        <f t="shared" si="502"/>
        <v>-6.1221222800427813E-2</v>
      </c>
      <c r="T597" s="16"/>
      <c r="U597" s="41"/>
      <c r="V597" s="10">
        <f t="shared" si="349"/>
        <v>489</v>
      </c>
      <c r="W597" s="34">
        <v>1208</v>
      </c>
      <c r="X597" s="33">
        <v>4256</v>
      </c>
      <c r="Y597" s="33"/>
      <c r="Z597" s="33">
        <f t="shared" si="503"/>
        <v>5404</v>
      </c>
      <c r="AA597" s="33">
        <f t="shared" si="504"/>
        <v>706629</v>
      </c>
      <c r="AB597" s="33"/>
      <c r="AC597" s="46">
        <f t="shared" si="505"/>
        <v>1.6069722358386267E-2</v>
      </c>
      <c r="AD597" s="33"/>
      <c r="AE597" s="33">
        <f t="shared" si="506"/>
        <v>1201.75</v>
      </c>
      <c r="AF597" s="50"/>
      <c r="AG597" s="33"/>
      <c r="AH597" s="33"/>
      <c r="AI597" s="213"/>
      <c r="AJ597" s="50"/>
      <c r="AK597" s="111"/>
      <c r="AL597" s="23">
        <f t="shared" si="507"/>
        <v>89192</v>
      </c>
      <c r="AM597" s="24"/>
      <c r="AN597" s="24"/>
      <c r="AO597" s="24">
        <v>178263</v>
      </c>
      <c r="AP597" s="24">
        <v>36565948</v>
      </c>
      <c r="AQ597" s="24">
        <v>20336656</v>
      </c>
      <c r="AR597" s="461">
        <f t="shared" si="508"/>
        <v>2.4451735784837884E-3</v>
      </c>
      <c r="AS597" s="25"/>
      <c r="AT597" s="25"/>
      <c r="AU597" s="24"/>
      <c r="AV597" s="298">
        <f t="shared" si="509"/>
        <v>0.83156031259853413</v>
      </c>
      <c r="AW597" s="298"/>
      <c r="AX597" s="24">
        <f t="shared" si="510"/>
        <v>62186.986394557825</v>
      </c>
      <c r="AY597" s="308"/>
      <c r="AZ597" s="111"/>
      <c r="BA597" s="65">
        <f t="shared" si="511"/>
        <v>1767712</v>
      </c>
      <c r="BB597" s="66"/>
      <c r="BC597" s="66">
        <v>696084706</v>
      </c>
      <c r="BD597" s="66"/>
      <c r="BE597" s="66">
        <f t="shared" si="512"/>
        <v>78460</v>
      </c>
      <c r="BF597" s="66"/>
      <c r="BG597" s="144">
        <f t="shared" si="513"/>
        <v>4.4385058199525713E-2</v>
      </c>
      <c r="BH597" s="66"/>
      <c r="BI597" s="170"/>
      <c r="BJ597" s="66"/>
      <c r="BK597" s="66"/>
      <c r="BL597" s="66"/>
      <c r="BM597" s="144"/>
      <c r="BN597" s="65">
        <f t="shared" si="514"/>
        <v>1183817.5272108843</v>
      </c>
      <c r="BO597" s="66"/>
      <c r="BP597" s="66">
        <f t="shared" si="515"/>
        <v>43065717</v>
      </c>
      <c r="BQ597" s="66"/>
      <c r="BR597" s="435">
        <f t="shared" si="516"/>
        <v>6.1868500527003392E-2</v>
      </c>
      <c r="BS597" s="66"/>
      <c r="BT597" s="75"/>
      <c r="BU597" s="170"/>
      <c r="BV597" s="1"/>
      <c r="BW597" s="61">
        <f t="shared" si="399"/>
        <v>588</v>
      </c>
    </row>
    <row r="598" spans="2:75" x14ac:dyDescent="0.3">
      <c r="B598" s="158">
        <f t="shared" si="448"/>
        <v>44498</v>
      </c>
      <c r="C598" s="61"/>
      <c r="D598" s="17">
        <v>80469</v>
      </c>
      <c r="E598" s="16"/>
      <c r="F598" s="16"/>
      <c r="G598" s="16"/>
      <c r="H598" s="16">
        <f t="shared" si="497"/>
        <v>44053164</v>
      </c>
      <c r="I598" s="16"/>
      <c r="J598" s="436">
        <f t="shared" si="498"/>
        <v>1.8299765343015705E-3</v>
      </c>
      <c r="K598" s="16"/>
      <c r="L598" s="16"/>
      <c r="M598" s="16"/>
      <c r="N598" s="16">
        <f t="shared" si="499"/>
        <v>402670</v>
      </c>
      <c r="O598" s="16">
        <f t="shared" si="500"/>
        <v>74793.147707979631</v>
      </c>
      <c r="P598" s="41"/>
      <c r="Q598" s="17">
        <f t="shared" si="501"/>
        <v>402670</v>
      </c>
      <c r="R598" s="16"/>
      <c r="S598" s="60">
        <f t="shared" si="502"/>
        <v>-4.2399625207194307E-2</v>
      </c>
      <c r="T598" s="16"/>
      <c r="U598" s="41"/>
      <c r="V598" s="10">
        <f t="shared" si="349"/>
        <v>490</v>
      </c>
      <c r="W598" s="34">
        <v>1556</v>
      </c>
      <c r="X598" s="33">
        <v>4256</v>
      </c>
      <c r="Y598" s="33"/>
      <c r="Z598" s="33">
        <f t="shared" si="503"/>
        <v>6476</v>
      </c>
      <c r="AA598" s="33">
        <f t="shared" si="504"/>
        <v>708185</v>
      </c>
      <c r="AB598" s="33"/>
      <c r="AC598" s="46">
        <f t="shared" si="505"/>
        <v>1.6075689818783503E-2</v>
      </c>
      <c r="AD598" s="33"/>
      <c r="AE598" s="33">
        <f t="shared" si="506"/>
        <v>1202.3514431239389</v>
      </c>
      <c r="AF598" s="50"/>
      <c r="AG598" s="33"/>
      <c r="AH598" s="33"/>
      <c r="AI598" s="213"/>
      <c r="AJ598" s="50"/>
      <c r="AK598" s="111"/>
      <c r="AL598" s="23">
        <f t="shared" si="507"/>
        <v>80952</v>
      </c>
      <c r="AM598" s="24"/>
      <c r="AN598" s="24"/>
      <c r="AO598" s="24">
        <v>178263</v>
      </c>
      <c r="AP598" s="24">
        <v>36646900</v>
      </c>
      <c r="AQ598" s="24">
        <v>20336656</v>
      </c>
      <c r="AR598" s="461">
        <f t="shared" si="508"/>
        <v>2.2138630181282324E-3</v>
      </c>
      <c r="AS598" s="25"/>
      <c r="AT598" s="25"/>
      <c r="AU598" s="24"/>
      <c r="AV598" s="298">
        <f t="shared" si="509"/>
        <v>0.8318789542562709</v>
      </c>
      <c r="AW598" s="298"/>
      <c r="AX598" s="24">
        <f t="shared" si="510"/>
        <v>62218.845500848896</v>
      </c>
      <c r="AY598" s="308"/>
      <c r="AZ598" s="111"/>
      <c r="BA598" s="65">
        <f t="shared" si="511"/>
        <v>1763092</v>
      </c>
      <c r="BB598" s="66"/>
      <c r="BC598" s="66">
        <v>697847798</v>
      </c>
      <c r="BD598" s="66"/>
      <c r="BE598" s="66">
        <f t="shared" si="512"/>
        <v>80469</v>
      </c>
      <c r="BF598" s="66"/>
      <c r="BG598" s="144">
        <f t="shared" si="513"/>
        <v>4.564084006960499E-2</v>
      </c>
      <c r="BH598" s="66"/>
      <c r="BI598" s="170"/>
      <c r="BJ598" s="66"/>
      <c r="BK598" s="66"/>
      <c r="BL598" s="66"/>
      <c r="BM598" s="144"/>
      <c r="BN598" s="65">
        <f t="shared" si="514"/>
        <v>1184801.0152801359</v>
      </c>
      <c r="BO598" s="66"/>
      <c r="BP598" s="66">
        <f t="shared" si="515"/>
        <v>43146186</v>
      </c>
      <c r="BQ598" s="66"/>
      <c r="BR598" s="435">
        <f t="shared" si="516"/>
        <v>6.1827501818670208E-2</v>
      </c>
      <c r="BS598" s="66"/>
      <c r="BT598" s="75"/>
      <c r="BU598" s="170"/>
      <c r="BV598" s="1"/>
      <c r="BW598" s="61">
        <f t="shared" si="399"/>
        <v>589</v>
      </c>
    </row>
    <row r="599" spans="2:75" x14ac:dyDescent="0.3">
      <c r="B599" s="158">
        <f t="shared" si="448"/>
        <v>44499</v>
      </c>
      <c r="C599" s="61"/>
      <c r="D599" s="17">
        <v>30780</v>
      </c>
      <c r="E599" s="16"/>
      <c r="F599" s="16"/>
      <c r="G599" s="16"/>
      <c r="H599" s="16">
        <f t="shared" si="497"/>
        <v>44083944</v>
      </c>
      <c r="I599" s="16"/>
      <c r="J599" s="436">
        <f t="shared" si="498"/>
        <v>6.9870123290122817E-4</v>
      </c>
      <c r="K599" s="16"/>
      <c r="L599" s="16"/>
      <c r="M599" s="16"/>
      <c r="N599" s="16">
        <f t="shared" si="499"/>
        <v>404626</v>
      </c>
      <c r="O599" s="16">
        <f t="shared" si="500"/>
        <v>74718.549152542371</v>
      </c>
      <c r="P599" s="41"/>
      <c r="Q599" s="17">
        <f t="shared" si="501"/>
        <v>404626</v>
      </c>
      <c r="R599" s="16"/>
      <c r="S599" s="60">
        <f t="shared" si="502"/>
        <v>-2.5966929296868418E-2</v>
      </c>
      <c r="T599" s="16"/>
      <c r="U599" s="41"/>
      <c r="V599" s="10">
        <f t="shared" si="349"/>
        <v>491</v>
      </c>
      <c r="W599" s="34">
        <v>370</v>
      </c>
      <c r="X599" s="33">
        <v>4256</v>
      </c>
      <c r="Y599" s="33"/>
      <c r="Z599" s="33">
        <f t="shared" si="503"/>
        <v>6689</v>
      </c>
      <c r="AA599" s="33">
        <f t="shared" si="504"/>
        <v>708555</v>
      </c>
      <c r="AB599" s="33"/>
      <c r="AC599" s="46">
        <f t="shared" si="505"/>
        <v>1.6072858635334444E-2</v>
      </c>
      <c r="AD599" s="33"/>
      <c r="AE599" s="33">
        <f t="shared" si="506"/>
        <v>1200.9406779661017</v>
      </c>
      <c r="AF599" s="50"/>
      <c r="AG599" s="33"/>
      <c r="AH599" s="33"/>
      <c r="AI599" s="213"/>
      <c r="AJ599" s="50"/>
      <c r="AK599" s="111"/>
      <c r="AL599" s="23">
        <f t="shared" si="507"/>
        <v>50045</v>
      </c>
      <c r="AM599" s="24"/>
      <c r="AN599" s="24"/>
      <c r="AO599" s="24">
        <v>178263</v>
      </c>
      <c r="AP599" s="24">
        <v>36696945</v>
      </c>
      <c r="AQ599" s="24">
        <v>20336656</v>
      </c>
      <c r="AR599" s="461">
        <f t="shared" si="508"/>
        <v>1.3655998188114137E-3</v>
      </c>
      <c r="AS599" s="25"/>
      <c r="AT599" s="25"/>
      <c r="AU599" s="24"/>
      <c r="AV599" s="298">
        <f t="shared" si="509"/>
        <v>0.83243334580045747</v>
      </c>
      <c r="AW599" s="298"/>
      <c r="AX599" s="24">
        <f t="shared" si="510"/>
        <v>62198.211864406781</v>
      </c>
      <c r="AY599" s="308"/>
      <c r="AZ599" s="111"/>
      <c r="BA599" s="65">
        <f t="shared" si="511"/>
        <v>280826</v>
      </c>
      <c r="BB599" s="66"/>
      <c r="BC599" s="66">
        <v>698128624</v>
      </c>
      <c r="BD599" s="66"/>
      <c r="BE599" s="66">
        <f t="shared" si="512"/>
        <v>30780</v>
      </c>
      <c r="BF599" s="66"/>
      <c r="BG599" s="144">
        <f t="shared" si="513"/>
        <v>0.10960523598242328</v>
      </c>
      <c r="BH599" s="66"/>
      <c r="BI599" s="170"/>
      <c r="BJ599" s="66"/>
      <c r="BK599" s="66"/>
      <c r="BL599" s="66"/>
      <c r="BM599" s="144"/>
      <c r="BN599" s="65">
        <f t="shared" si="514"/>
        <v>1183268.8542372882</v>
      </c>
      <c r="BO599" s="66"/>
      <c r="BP599" s="66">
        <f t="shared" si="515"/>
        <v>43176966</v>
      </c>
      <c r="BQ599" s="66"/>
      <c r="BR599" s="435">
        <f t="shared" si="516"/>
        <v>6.1846720669628354E-2</v>
      </c>
      <c r="BS599" s="66"/>
      <c r="BT599" s="75"/>
      <c r="BU599" s="170"/>
      <c r="BV599" s="1"/>
      <c r="BW599" s="61">
        <f t="shared" si="399"/>
        <v>590</v>
      </c>
    </row>
    <row r="600" spans="2:75" x14ac:dyDescent="0.3">
      <c r="B600" s="347">
        <f t="shared" si="448"/>
        <v>44500</v>
      </c>
      <c r="C600" s="61"/>
      <c r="D600" s="17">
        <v>19975</v>
      </c>
      <c r="E600" s="16"/>
      <c r="F600" s="16"/>
      <c r="G600" s="16"/>
      <c r="H600" s="16">
        <f t="shared" si="497"/>
        <v>44103919</v>
      </c>
      <c r="I600" s="16"/>
      <c r="J600" s="436">
        <f t="shared" si="498"/>
        <v>4.5311281585876253E-4</v>
      </c>
      <c r="K600" s="16"/>
      <c r="L600" s="16"/>
      <c r="M600" s="16"/>
      <c r="N600" s="16">
        <f t="shared" si="499"/>
        <v>407021</v>
      </c>
      <c r="O600" s="16">
        <f t="shared" si="500"/>
        <v>74625.920473773265</v>
      </c>
      <c r="P600" s="41"/>
      <c r="Q600" s="17">
        <f t="shared" si="501"/>
        <v>407021</v>
      </c>
      <c r="R600" s="16"/>
      <c r="S600" s="60">
        <f t="shared" si="502"/>
        <v>-1.9335206218105944E-2</v>
      </c>
      <c r="T600" s="16"/>
      <c r="U600" s="41"/>
      <c r="V600" s="10">
        <f t="shared" si="349"/>
        <v>492</v>
      </c>
      <c r="W600" s="34">
        <v>162</v>
      </c>
      <c r="X600" s="33">
        <v>4256</v>
      </c>
      <c r="Y600" s="33"/>
      <c r="Z600" s="33">
        <f t="shared" si="503"/>
        <v>6341</v>
      </c>
      <c r="AA600" s="33">
        <f t="shared" si="504"/>
        <v>708717</v>
      </c>
      <c r="AB600" s="33"/>
      <c r="AC600" s="46">
        <f t="shared" si="505"/>
        <v>1.6069252258512447E-2</v>
      </c>
      <c r="AD600" s="33"/>
      <c r="AE600" s="33">
        <f t="shared" si="506"/>
        <v>1199.1827411167512</v>
      </c>
      <c r="AF600" s="50"/>
      <c r="AG600" s="33"/>
      <c r="AH600" s="33"/>
      <c r="AI600" s="213"/>
      <c r="AJ600" s="50"/>
      <c r="AK600" s="111"/>
      <c r="AL600" s="23">
        <f t="shared" si="507"/>
        <v>18368</v>
      </c>
      <c r="AM600" s="24"/>
      <c r="AN600" s="24"/>
      <c r="AO600" s="24">
        <v>178263</v>
      </c>
      <c r="AP600" s="24">
        <v>36715313</v>
      </c>
      <c r="AQ600" s="24">
        <v>20336656</v>
      </c>
      <c r="AR600" s="461">
        <f t="shared" si="508"/>
        <v>5.0053212876439719E-4</v>
      </c>
      <c r="AS600" s="25"/>
      <c r="AT600" s="25"/>
      <c r="AU600" s="24"/>
      <c r="AV600" s="298">
        <f t="shared" si="509"/>
        <v>0.83247280133994439</v>
      </c>
      <c r="AW600" s="298"/>
      <c r="AX600" s="24">
        <f t="shared" si="510"/>
        <v>62124.049069373941</v>
      </c>
      <c r="AY600" s="308"/>
      <c r="AZ600" s="111"/>
      <c r="BA600" s="65">
        <f t="shared" si="511"/>
        <v>563570</v>
      </c>
      <c r="BB600" s="66"/>
      <c r="BC600" s="66">
        <v>698692194</v>
      </c>
      <c r="BD600" s="66"/>
      <c r="BE600" s="66">
        <f t="shared" si="512"/>
        <v>19975</v>
      </c>
      <c r="BF600" s="66"/>
      <c r="BG600" s="144">
        <f t="shared" si="513"/>
        <v>3.5443689337615561E-2</v>
      </c>
      <c r="BH600" s="66"/>
      <c r="BI600" s="170"/>
      <c r="BJ600" s="66"/>
      <c r="BK600" s="66"/>
      <c r="BL600" s="66"/>
      <c r="BM600" s="144"/>
      <c r="BN600" s="65">
        <f t="shared" si="514"/>
        <v>1182220.2944162437</v>
      </c>
      <c r="BO600" s="66"/>
      <c r="BP600" s="66">
        <f t="shared" si="515"/>
        <v>43196941</v>
      </c>
      <c r="BQ600" s="66"/>
      <c r="BR600" s="435">
        <f t="shared" si="516"/>
        <v>6.1825423800283649E-2</v>
      </c>
      <c r="BS600" s="66"/>
      <c r="BT600" s="75"/>
      <c r="BU600" s="170"/>
      <c r="BV600" s="1"/>
      <c r="BW600" s="61">
        <f t="shared" si="399"/>
        <v>591</v>
      </c>
    </row>
    <row r="601" spans="2:75" x14ac:dyDescent="0.3">
      <c r="B601" s="158">
        <f t="shared" si="448"/>
        <v>44501</v>
      </c>
      <c r="C601" s="61"/>
      <c r="D601" s="17">
        <v>54561</v>
      </c>
      <c r="E601" s="16"/>
      <c r="F601" s="16"/>
      <c r="G601" s="16"/>
      <c r="H601" s="16">
        <f t="shared" si="497"/>
        <v>44158480</v>
      </c>
      <c r="I601" s="16"/>
      <c r="J601" s="436">
        <f t="shared" si="498"/>
        <v>1.2371009478772169E-3</v>
      </c>
      <c r="K601" s="16"/>
      <c r="L601" s="16"/>
      <c r="M601" s="16"/>
      <c r="N601" s="16">
        <f t="shared" si="499"/>
        <v>412811</v>
      </c>
      <c r="O601" s="16">
        <f t="shared" si="500"/>
        <v>74592.027027027027</v>
      </c>
      <c r="P601" s="41"/>
      <c r="Q601" s="17">
        <f t="shared" si="501"/>
        <v>412811</v>
      </c>
      <c r="R601" s="16"/>
      <c r="S601" s="60">
        <f t="shared" si="502"/>
        <v>5.1840596860831499E-3</v>
      </c>
      <c r="T601" s="16"/>
      <c r="U601" s="41"/>
      <c r="V601" s="10">
        <f t="shared" si="349"/>
        <v>493</v>
      </c>
      <c r="W601" s="34">
        <v>700</v>
      </c>
      <c r="X601" s="33">
        <v>4256</v>
      </c>
      <c r="Y601" s="33"/>
      <c r="Z601" s="33">
        <f t="shared" si="503"/>
        <v>5590</v>
      </c>
      <c r="AA601" s="33">
        <f t="shared" si="504"/>
        <v>709417</v>
      </c>
      <c r="AB601" s="33"/>
      <c r="AC601" s="46">
        <f t="shared" si="505"/>
        <v>1.606524952851638E-2</v>
      </c>
      <c r="AD601" s="33"/>
      <c r="AE601" s="33">
        <f t="shared" si="506"/>
        <v>1198.3395270270271</v>
      </c>
      <c r="AF601" s="50"/>
      <c r="AG601" s="33"/>
      <c r="AH601" s="33"/>
      <c r="AI601" s="213"/>
      <c r="AJ601" s="50"/>
      <c r="AK601" s="111" t="s">
        <v>26</v>
      </c>
      <c r="AL601" s="23">
        <f t="shared" si="507"/>
        <v>134687</v>
      </c>
      <c r="AM601" s="24"/>
      <c r="AN601" s="24"/>
      <c r="AO601" s="24">
        <v>178263</v>
      </c>
      <c r="AP601" s="24">
        <v>36850000</v>
      </c>
      <c r="AQ601" s="24">
        <v>20336656</v>
      </c>
      <c r="AR601" s="461">
        <f t="shared" si="508"/>
        <v>3.6684148654813321E-3</v>
      </c>
      <c r="AS601" s="25"/>
      <c r="AT601" s="25"/>
      <c r="AU601" s="24"/>
      <c r="AV601" s="298">
        <f t="shared" si="509"/>
        <v>0.83449430324594509</v>
      </c>
      <c r="AW601" s="298"/>
      <c r="AX601" s="24">
        <f t="shared" si="510"/>
        <v>62246.62162162162</v>
      </c>
      <c r="AY601" s="308"/>
      <c r="AZ601" s="111" t="s">
        <v>26</v>
      </c>
      <c r="BA601" s="65">
        <f t="shared" si="511"/>
        <v>1307806</v>
      </c>
      <c r="BB601" s="66"/>
      <c r="BC601" s="66">
        <v>700000000</v>
      </c>
      <c r="BD601" s="66"/>
      <c r="BE601" s="66">
        <f t="shared" si="512"/>
        <v>54561</v>
      </c>
      <c r="BF601" s="66"/>
      <c r="BG601" s="144">
        <f t="shared" si="513"/>
        <v>4.1719490505472523E-2</v>
      </c>
      <c r="BH601" s="66"/>
      <c r="BI601" s="170"/>
      <c r="BJ601" s="66"/>
      <c r="BK601" s="66"/>
      <c r="BL601" s="66"/>
      <c r="BM601" s="144"/>
      <c r="BN601" s="65">
        <f t="shared" si="514"/>
        <v>1182432.4324324324</v>
      </c>
      <c r="BO601" s="66"/>
      <c r="BP601" s="66">
        <f t="shared" si="515"/>
        <v>43251502</v>
      </c>
      <c r="BQ601" s="66"/>
      <c r="BR601" s="435">
        <f t="shared" si="516"/>
        <v>6.178786E-2</v>
      </c>
      <c r="BS601" s="66"/>
      <c r="BT601" s="75"/>
      <c r="BU601" s="170"/>
      <c r="BV601" s="1"/>
      <c r="BW601" s="61">
        <f t="shared" si="399"/>
        <v>592</v>
      </c>
    </row>
    <row r="602" spans="2:75" x14ac:dyDescent="0.3">
      <c r="B602" s="158">
        <f t="shared" si="448"/>
        <v>44502</v>
      </c>
      <c r="C602" s="61"/>
      <c r="D602" s="17">
        <v>76526</v>
      </c>
      <c r="E602" s="16"/>
      <c r="F602" s="16"/>
      <c r="G602" s="16"/>
      <c r="H602" s="16">
        <f t="shared" si="497"/>
        <v>44235006</v>
      </c>
      <c r="I602" s="16"/>
      <c r="J602" s="436">
        <f t="shared" si="498"/>
        <v>1.7329853744965859E-3</v>
      </c>
      <c r="K602" s="16"/>
      <c r="L602" s="16"/>
      <c r="M602" s="16"/>
      <c r="N602" s="16">
        <f t="shared" si="499"/>
        <v>419703</v>
      </c>
      <c r="O602" s="16">
        <f t="shared" si="500"/>
        <v>74595.288364249573</v>
      </c>
      <c r="P602" s="41"/>
      <c r="Q602" s="17">
        <f t="shared" si="501"/>
        <v>419703</v>
      </c>
      <c r="R602" s="16"/>
      <c r="S602" s="60">
        <f t="shared" si="502"/>
        <v>2.7407119094654438E-2</v>
      </c>
      <c r="T602" s="16"/>
      <c r="U602" s="41"/>
      <c r="V602" s="10">
        <f t="shared" si="349"/>
        <v>494</v>
      </c>
      <c r="W602" s="34">
        <v>1269</v>
      </c>
      <c r="X602" s="33">
        <v>4256</v>
      </c>
      <c r="Y602" s="33"/>
      <c r="Z602" s="33">
        <f t="shared" si="503"/>
        <v>5265</v>
      </c>
      <c r="AA602" s="33">
        <f t="shared" si="504"/>
        <v>710686</v>
      </c>
      <c r="AB602" s="33"/>
      <c r="AC602" s="46">
        <f t="shared" si="505"/>
        <v>1.6066144537202051E-2</v>
      </c>
      <c r="AD602" s="33"/>
      <c r="AE602" s="33">
        <f t="shared" si="506"/>
        <v>1198.4586846543002</v>
      </c>
      <c r="AF602" s="50"/>
      <c r="AG602" s="33"/>
      <c r="AH602" s="33"/>
      <c r="AI602" s="213"/>
      <c r="AJ602" s="50"/>
      <c r="AL602" s="23">
        <f t="shared" si="507"/>
        <v>171623</v>
      </c>
      <c r="AM602" s="24"/>
      <c r="AN602" s="24"/>
      <c r="AO602" s="24">
        <v>178263</v>
      </c>
      <c r="AP602" s="24">
        <v>37021623</v>
      </c>
      <c r="AQ602" s="24">
        <v>20336656</v>
      </c>
      <c r="AR602" s="461">
        <f t="shared" si="508"/>
        <v>4.657340569877883E-3</v>
      </c>
      <c r="AS602" s="25"/>
      <c r="AT602" s="25"/>
      <c r="AU602" s="24"/>
      <c r="AV602" s="298">
        <f t="shared" si="509"/>
        <v>0.83693043920916388</v>
      </c>
      <c r="AW602" s="298"/>
      <c r="AX602" s="24">
        <f t="shared" si="510"/>
        <v>62431.067453625634</v>
      </c>
      <c r="AY602" s="308"/>
      <c r="BA602" s="65">
        <f t="shared" si="511"/>
        <v>3560959</v>
      </c>
      <c r="BB602" s="66"/>
      <c r="BC602" s="66">
        <v>703560959</v>
      </c>
      <c r="BD602" s="66"/>
      <c r="BE602" s="66">
        <f t="shared" si="512"/>
        <v>76526</v>
      </c>
      <c r="BF602" s="66"/>
      <c r="BG602" s="144">
        <f t="shared" si="513"/>
        <v>2.1490278321092716E-2</v>
      </c>
      <c r="BH602" s="66"/>
      <c r="BI602" s="170"/>
      <c r="BJ602" s="66"/>
      <c r="BK602" s="66"/>
      <c r="BL602" s="66"/>
      <c r="BM602" s="144"/>
      <c r="BN602" s="65">
        <f t="shared" si="514"/>
        <v>1186443.4384485667</v>
      </c>
      <c r="BO602" s="66"/>
      <c r="BP602" s="66">
        <f t="shared" si="515"/>
        <v>43328028</v>
      </c>
      <c r="BQ602" s="66"/>
      <c r="BR602" s="435">
        <f t="shared" si="516"/>
        <v>6.1583900365341337E-2</v>
      </c>
      <c r="BS602" s="66"/>
      <c r="BT602" s="75"/>
      <c r="BU602" s="170"/>
      <c r="BV602" s="1"/>
      <c r="BW602" s="61">
        <f t="shared" si="399"/>
        <v>593</v>
      </c>
    </row>
    <row r="603" spans="2:75" x14ac:dyDescent="0.3">
      <c r="B603" s="158">
        <f t="shared" si="448"/>
        <v>44503</v>
      </c>
      <c r="C603" s="61"/>
      <c r="D603" s="17">
        <v>75639</v>
      </c>
      <c r="E603" s="16"/>
      <c r="F603" s="16"/>
      <c r="G603" s="16"/>
      <c r="H603" s="16">
        <f t="shared" si="497"/>
        <v>44310645</v>
      </c>
      <c r="I603" s="16"/>
      <c r="J603" s="436">
        <f t="shared" si="498"/>
        <v>1.7099353394458678E-3</v>
      </c>
      <c r="K603" s="16"/>
      <c r="L603" s="16"/>
      <c r="M603" s="16"/>
      <c r="N603" s="16">
        <f t="shared" si="499"/>
        <v>416410</v>
      </c>
      <c r="O603" s="16">
        <f t="shared" si="500"/>
        <v>74597.045454545456</v>
      </c>
      <c r="P603" s="41"/>
      <c r="Q603" s="17">
        <f t="shared" si="501"/>
        <v>416410</v>
      </c>
      <c r="R603" s="16"/>
      <c r="S603" s="60">
        <f t="shared" si="502"/>
        <v>2.3085201000456988E-2</v>
      </c>
      <c r="T603" s="16"/>
      <c r="U603" s="41"/>
      <c r="V603" s="10">
        <f t="shared" si="349"/>
        <v>495</v>
      </c>
      <c r="W603" s="34">
        <v>1436</v>
      </c>
      <c r="X603" s="33">
        <v>4256</v>
      </c>
      <c r="Y603" s="33"/>
      <c r="Z603" s="33">
        <f t="shared" si="503"/>
        <v>5493</v>
      </c>
      <c r="AA603" s="33">
        <f t="shared" si="504"/>
        <v>712122</v>
      </c>
      <c r="AB603" s="33"/>
      <c r="AC603" s="46">
        <f t="shared" si="505"/>
        <v>1.6071126926723814E-2</v>
      </c>
      <c r="AD603" s="33"/>
      <c r="AE603" s="33">
        <f t="shared" si="506"/>
        <v>1198.8585858585859</v>
      </c>
      <c r="AF603" s="50"/>
      <c r="AG603" s="33"/>
      <c r="AH603" s="33"/>
      <c r="AI603" s="213"/>
      <c r="AJ603" s="50"/>
      <c r="AL603" s="23">
        <f t="shared" si="507"/>
        <v>94981</v>
      </c>
      <c r="AM603" s="24"/>
      <c r="AN603" s="24"/>
      <c r="AO603" s="24">
        <v>178263</v>
      </c>
      <c r="AP603" s="24">
        <v>37116604</v>
      </c>
      <c r="AQ603" s="24">
        <v>20336656</v>
      </c>
      <c r="AR603" s="461">
        <f t="shared" si="508"/>
        <v>2.5655547300019775E-3</v>
      </c>
      <c r="AS603" s="25"/>
      <c r="AT603" s="25"/>
      <c r="AU603" s="24"/>
      <c r="AV603" s="298">
        <f t="shared" si="509"/>
        <v>0.83764531073740855</v>
      </c>
      <c r="AW603" s="298"/>
      <c r="AX603" s="24">
        <f t="shared" si="510"/>
        <v>62485.865319865319</v>
      </c>
      <c r="AY603" s="308"/>
      <c r="BA603" s="65">
        <f t="shared" si="511"/>
        <v>1584324</v>
      </c>
      <c r="BB603" s="66"/>
      <c r="BC603" s="66">
        <v>705145283</v>
      </c>
      <c r="BD603" s="66"/>
      <c r="BE603" s="66">
        <f t="shared" si="512"/>
        <v>75639</v>
      </c>
      <c r="BF603" s="66"/>
      <c r="BG603" s="144">
        <f t="shared" si="513"/>
        <v>4.7742128504018121E-2</v>
      </c>
      <c r="BH603" s="66"/>
      <c r="BI603" s="170"/>
      <c r="BJ603" s="66"/>
      <c r="BK603" s="66"/>
      <c r="BL603" s="66"/>
      <c r="BM603" s="144"/>
      <c r="BN603" s="65">
        <f t="shared" si="514"/>
        <v>1187113.2710437709</v>
      </c>
      <c r="BO603" s="66"/>
      <c r="BP603" s="66">
        <f t="shared" si="515"/>
        <v>43403667</v>
      </c>
      <c r="BQ603" s="66"/>
      <c r="BR603" s="435">
        <f t="shared" si="516"/>
        <v>6.1552800602085289E-2</v>
      </c>
      <c r="BS603" s="66"/>
      <c r="BT603" s="75"/>
      <c r="BU603" s="170"/>
      <c r="BV603" s="1"/>
      <c r="BW603" s="61">
        <f t="shared" si="399"/>
        <v>594</v>
      </c>
    </row>
    <row r="604" spans="2:75" x14ac:dyDescent="0.3">
      <c r="B604" s="158">
        <f t="shared" si="448"/>
        <v>44504</v>
      </c>
      <c r="C604" s="61"/>
      <c r="D604" s="17">
        <v>81033</v>
      </c>
      <c r="E604" s="16"/>
      <c r="F604" s="16"/>
      <c r="G604" s="16"/>
      <c r="H604" s="16">
        <f t="shared" si="497"/>
        <v>44391678</v>
      </c>
      <c r="I604" s="16"/>
      <c r="J604" s="436">
        <f t="shared" si="498"/>
        <v>1.8287479227621264E-3</v>
      </c>
      <c r="K604" s="16"/>
      <c r="L604" s="16"/>
      <c r="M604" s="16"/>
      <c r="N604" s="16">
        <f t="shared" si="499"/>
        <v>418983</v>
      </c>
      <c r="O604" s="16">
        <f t="shared" si="500"/>
        <v>74607.862184873957</v>
      </c>
      <c r="P604" s="41"/>
      <c r="Q604" s="17">
        <f t="shared" si="501"/>
        <v>418983</v>
      </c>
      <c r="R604" s="16"/>
      <c r="S604" s="60">
        <f t="shared" si="502"/>
        <v>3.544888159569394E-2</v>
      </c>
      <c r="T604" s="16"/>
      <c r="U604" s="41"/>
      <c r="V604" s="10">
        <f t="shared" si="349"/>
        <v>496</v>
      </c>
      <c r="W604" s="34">
        <v>1149</v>
      </c>
      <c r="X604" s="33">
        <v>4256</v>
      </c>
      <c r="Y604" s="33"/>
      <c r="Z604" s="33">
        <f t="shared" si="503"/>
        <v>5086</v>
      </c>
      <c r="AA604" s="33">
        <f t="shared" si="504"/>
        <v>713271</v>
      </c>
      <c r="AB604" s="33"/>
      <c r="AC604" s="46">
        <f t="shared" si="505"/>
        <v>1.6067673765339529E-2</v>
      </c>
      <c r="AD604" s="33"/>
      <c r="AE604" s="33">
        <f t="shared" si="506"/>
        <v>1198.7747899159665</v>
      </c>
      <c r="AF604" s="50"/>
      <c r="AG604" s="33"/>
      <c r="AH604" s="33"/>
      <c r="AI604" s="213"/>
      <c r="AJ604" s="50"/>
      <c r="AL604" s="23">
        <f t="shared" si="507"/>
        <v>77507</v>
      </c>
      <c r="AM604" s="24"/>
      <c r="AN604" s="24"/>
      <c r="AO604" s="24">
        <v>178263</v>
      </c>
      <c r="AP604" s="24">
        <v>37194111</v>
      </c>
      <c r="AQ604" s="24">
        <v>20336656</v>
      </c>
      <c r="AR604" s="461">
        <f t="shared" si="508"/>
        <v>2.0882028970107287E-3</v>
      </c>
      <c r="AS604" s="25"/>
      <c r="AT604" s="25"/>
      <c r="AU604" s="24"/>
      <c r="AV604" s="298">
        <f t="shared" si="509"/>
        <v>0.83786224526137532</v>
      </c>
      <c r="AW604" s="298"/>
      <c r="AX604" s="24">
        <f t="shared" si="510"/>
        <v>62511.11092436975</v>
      </c>
      <c r="AY604" s="308"/>
      <c r="BA604" s="65">
        <f t="shared" si="511"/>
        <v>1598118</v>
      </c>
      <c r="BB604" s="66"/>
      <c r="BC604" s="66">
        <v>706743401</v>
      </c>
      <c r="BD604" s="66"/>
      <c r="BE604" s="66">
        <f t="shared" si="512"/>
        <v>81033</v>
      </c>
      <c r="BF604" s="66"/>
      <c r="BG604" s="144">
        <f t="shared" si="513"/>
        <v>5.0705267070391545E-2</v>
      </c>
      <c r="BH604" s="66"/>
      <c r="BI604" s="170"/>
      <c r="BJ604" s="66"/>
      <c r="BK604" s="66"/>
      <c r="BL604" s="66"/>
      <c r="BM604" s="144"/>
      <c r="BN604" s="65">
        <f t="shared" si="514"/>
        <v>1187804.0352941176</v>
      </c>
      <c r="BO604" s="66"/>
      <c r="BP604" s="66">
        <f t="shared" si="515"/>
        <v>43484700</v>
      </c>
      <c r="BQ604" s="66"/>
      <c r="BR604" s="435">
        <f t="shared" si="516"/>
        <v>6.1528271701542216E-2</v>
      </c>
      <c r="BS604" s="66"/>
      <c r="BT604" s="75"/>
      <c r="BU604" s="170"/>
      <c r="BV604" s="1"/>
      <c r="BW604" s="61">
        <f t="shared" si="399"/>
        <v>595</v>
      </c>
    </row>
    <row r="605" spans="2:75" x14ac:dyDescent="0.3">
      <c r="B605" s="158">
        <f t="shared" si="448"/>
        <v>44505</v>
      </c>
      <c r="C605" s="61"/>
      <c r="D605" s="17">
        <v>84846</v>
      </c>
      <c r="E605" s="16"/>
      <c r="F605" s="16"/>
      <c r="G605" s="16"/>
      <c r="H605" s="16">
        <f t="shared" si="497"/>
        <v>44476524</v>
      </c>
      <c r="I605" s="16"/>
      <c r="J605" s="436">
        <f t="shared" si="498"/>
        <v>1.9113041863387096E-3</v>
      </c>
      <c r="K605" s="16"/>
      <c r="L605" s="16"/>
      <c r="M605" s="16"/>
      <c r="N605" s="16">
        <f t="shared" si="499"/>
        <v>423360</v>
      </c>
      <c r="O605" s="16">
        <f t="shared" si="500"/>
        <v>74625.040268456374</v>
      </c>
      <c r="P605" s="41"/>
      <c r="Q605" s="17">
        <f t="shared" si="501"/>
        <v>423360</v>
      </c>
      <c r="R605" s="16"/>
      <c r="S605" s="60">
        <f t="shared" si="502"/>
        <v>5.1382024983236893E-2</v>
      </c>
      <c r="T605" s="16"/>
      <c r="U605" s="41"/>
      <c r="V605" s="10">
        <f t="shared" si="349"/>
        <v>497</v>
      </c>
      <c r="W605" s="34">
        <v>1345</v>
      </c>
      <c r="X605" s="33">
        <v>4256</v>
      </c>
      <c r="Y605" s="33"/>
      <c r="Z605" s="33">
        <f t="shared" si="503"/>
        <v>6061</v>
      </c>
      <c r="AA605" s="33">
        <f t="shared" si="504"/>
        <v>714616</v>
      </c>
      <c r="AB605" s="33"/>
      <c r="AC605" s="46">
        <f t="shared" si="505"/>
        <v>1.6067262810376098E-2</v>
      </c>
      <c r="AD605" s="33"/>
      <c r="AE605" s="33">
        <f t="shared" si="506"/>
        <v>1199.020134228188</v>
      </c>
      <c r="AF605" s="50"/>
      <c r="AG605" s="33"/>
      <c r="AH605" s="33"/>
      <c r="AI605" s="213"/>
      <c r="AJ605" s="50"/>
      <c r="AL605" s="23">
        <f t="shared" si="507"/>
        <v>75398</v>
      </c>
      <c r="AM605" s="24"/>
      <c r="AN605" s="24"/>
      <c r="AO605" s="24">
        <v>178263</v>
      </c>
      <c r="AP605" s="24">
        <v>37269509</v>
      </c>
      <c r="AQ605" s="24">
        <v>20336656</v>
      </c>
      <c r="AR605" s="461">
        <f t="shared" si="508"/>
        <v>2.0271488677333894E-3</v>
      </c>
      <c r="AS605" s="25"/>
      <c r="AT605" s="25"/>
      <c r="AU605" s="24"/>
      <c r="AV605" s="298">
        <f t="shared" si="509"/>
        <v>0.83795912198534217</v>
      </c>
      <c r="AW605" s="298"/>
      <c r="AX605" s="24">
        <f t="shared" si="510"/>
        <v>62532.733221476512</v>
      </c>
      <c r="AY605" s="308"/>
      <c r="BA605" s="65">
        <f t="shared" si="511"/>
        <v>1766699</v>
      </c>
      <c r="BB605" s="66"/>
      <c r="BC605" s="66">
        <v>708510100</v>
      </c>
      <c r="BD605" s="66"/>
      <c r="BE605" s="66">
        <f t="shared" si="512"/>
        <v>84846</v>
      </c>
      <c r="BF605" s="66"/>
      <c r="BG605" s="144">
        <f t="shared" si="513"/>
        <v>4.802515878482979E-2</v>
      </c>
      <c r="BH605" s="66"/>
      <c r="BI605" s="170"/>
      <c r="BJ605" s="66"/>
      <c r="BK605" s="66"/>
      <c r="BL605" s="66"/>
      <c r="BM605" s="144"/>
      <c r="BN605" s="65">
        <f t="shared" si="514"/>
        <v>1188775.3355704697</v>
      </c>
      <c r="BO605" s="66"/>
      <c r="BP605" s="66">
        <f t="shared" si="515"/>
        <v>43569546</v>
      </c>
      <c r="BQ605" s="66"/>
      <c r="BR605" s="435">
        <f t="shared" si="516"/>
        <v>6.1494601135537799E-2</v>
      </c>
      <c r="BS605" s="66"/>
      <c r="BT605" s="75"/>
      <c r="BU605" s="170"/>
      <c r="BV605" s="1"/>
      <c r="BW605" s="61">
        <f t="shared" si="399"/>
        <v>596</v>
      </c>
    </row>
    <row r="606" spans="2:75" x14ac:dyDescent="0.3">
      <c r="B606" s="158">
        <f t="shared" si="448"/>
        <v>44506</v>
      </c>
      <c r="C606" s="61"/>
      <c r="D606" s="17">
        <v>32479</v>
      </c>
      <c r="E606" s="16"/>
      <c r="F606" s="16"/>
      <c r="G606" s="16"/>
      <c r="H606" s="16">
        <f t="shared" si="497"/>
        <v>44509003</v>
      </c>
      <c r="I606" s="16"/>
      <c r="J606" s="436">
        <f t="shared" si="498"/>
        <v>7.3025041255472215E-4</v>
      </c>
      <c r="K606" s="16"/>
      <c r="L606" s="16"/>
      <c r="M606" s="16"/>
      <c r="N606" s="16">
        <f t="shared" si="499"/>
        <v>425059</v>
      </c>
      <c r="O606" s="16">
        <f t="shared" si="500"/>
        <v>74554.443886097157</v>
      </c>
      <c r="P606" s="41"/>
      <c r="Q606" s="17">
        <f t="shared" si="501"/>
        <v>425059</v>
      </c>
      <c r="R606" s="16"/>
      <c r="S606" s="60">
        <f t="shared" si="502"/>
        <v>5.0498485020735194E-2</v>
      </c>
      <c r="T606" s="16"/>
      <c r="U606" s="41"/>
      <c r="V606" s="10">
        <f t="shared" si="349"/>
        <v>498</v>
      </c>
      <c r="W606" s="34">
        <v>422</v>
      </c>
      <c r="X606" s="33">
        <v>4256</v>
      </c>
      <c r="Y606" s="33"/>
      <c r="Z606" s="33">
        <f t="shared" si="503"/>
        <v>6321</v>
      </c>
      <c r="AA606" s="33">
        <f t="shared" si="504"/>
        <v>715038</v>
      </c>
      <c r="AB606" s="33"/>
      <c r="AC606" s="46">
        <f t="shared" si="505"/>
        <v>1.6065019474824003E-2</v>
      </c>
      <c r="AD606" s="33"/>
      <c r="AE606" s="33">
        <f t="shared" si="506"/>
        <v>1197.7185929648242</v>
      </c>
      <c r="AF606" s="50"/>
      <c r="AG606" s="33"/>
      <c r="AH606" s="33"/>
      <c r="AI606" s="213"/>
      <c r="AJ606" s="50"/>
      <c r="AL606" s="23">
        <f t="shared" si="507"/>
        <v>42157</v>
      </c>
      <c r="AM606" s="24"/>
      <c r="AN606" s="24"/>
      <c r="AO606" s="24">
        <v>178263</v>
      </c>
      <c r="AP606" s="24">
        <v>37311666</v>
      </c>
      <c r="AQ606" s="24">
        <v>20336656</v>
      </c>
      <c r="AR606" s="461">
        <f t="shared" si="508"/>
        <v>1.1311391303813528E-3</v>
      </c>
      <c r="AS606" s="25"/>
      <c r="AT606" s="25"/>
      <c r="AU606" s="24"/>
      <c r="AV606" s="298">
        <f t="shared" si="509"/>
        <v>0.83829480521053235</v>
      </c>
      <c r="AW606" s="298"/>
      <c r="AX606" s="24">
        <f t="shared" si="510"/>
        <v>62498.60301507538</v>
      </c>
      <c r="AY606" s="308"/>
      <c r="BA606" s="65">
        <f t="shared" si="511"/>
        <v>486536</v>
      </c>
      <c r="BB606" s="66"/>
      <c r="BC606" s="66">
        <v>708996636</v>
      </c>
      <c r="BD606" s="66"/>
      <c r="BE606" s="66">
        <f t="shared" si="512"/>
        <v>32479</v>
      </c>
      <c r="BF606" s="66"/>
      <c r="BG606" s="144">
        <f t="shared" si="513"/>
        <v>6.675559465281089E-2</v>
      </c>
      <c r="BH606" s="66"/>
      <c r="BI606" s="170"/>
      <c r="BJ606" s="66"/>
      <c r="BK606" s="66"/>
      <c r="BL606" s="66"/>
      <c r="BM606" s="144"/>
      <c r="BN606" s="65">
        <f t="shared" si="514"/>
        <v>1187599.055276382</v>
      </c>
      <c r="BO606" s="66"/>
      <c r="BP606" s="66">
        <f t="shared" si="515"/>
        <v>43602025</v>
      </c>
      <c r="BQ606" s="66"/>
      <c r="BR606" s="435">
        <f t="shared" si="516"/>
        <v>6.149821139630908E-2</v>
      </c>
      <c r="BS606" s="66"/>
      <c r="BT606" s="75"/>
      <c r="BU606" s="170"/>
      <c r="BV606" s="1"/>
      <c r="BW606" s="61">
        <f t="shared" si="399"/>
        <v>597</v>
      </c>
    </row>
    <row r="607" spans="2:75" x14ac:dyDescent="0.3">
      <c r="B607" s="347">
        <f t="shared" si="448"/>
        <v>44507</v>
      </c>
      <c r="C607" s="61"/>
      <c r="D607" s="17">
        <v>23165</v>
      </c>
      <c r="E607" s="16"/>
      <c r="F607" s="16"/>
      <c r="G607" s="16"/>
      <c r="H607" s="16">
        <f t="shared" si="497"/>
        <v>44532168</v>
      </c>
      <c r="I607" s="16"/>
      <c r="J607" s="436">
        <f t="shared" si="498"/>
        <v>5.2045650180032111E-4</v>
      </c>
      <c r="K607" s="16"/>
      <c r="L607" s="16"/>
      <c r="M607" s="16"/>
      <c r="N607" s="16">
        <f t="shared" si="499"/>
        <v>428249</v>
      </c>
      <c r="O607" s="16">
        <f t="shared" si="500"/>
        <v>74468.508361204018</v>
      </c>
      <c r="P607" s="41"/>
      <c r="Q607" s="17">
        <f t="shared" si="501"/>
        <v>428249</v>
      </c>
      <c r="R607" s="16"/>
      <c r="S607" s="60">
        <f t="shared" si="502"/>
        <v>5.2154557135872595E-2</v>
      </c>
      <c r="T607" s="16"/>
      <c r="U607" s="41"/>
      <c r="V607" s="10">
        <f t="shared" si="349"/>
        <v>499</v>
      </c>
      <c r="W607" s="34">
        <v>123</v>
      </c>
      <c r="X607" s="33">
        <v>4256</v>
      </c>
      <c r="Y607" s="33"/>
      <c r="Z607" s="33">
        <f t="shared" si="503"/>
        <v>5744</v>
      </c>
      <c r="AA607" s="33">
        <f t="shared" si="504"/>
        <v>715161</v>
      </c>
      <c r="AB607" s="33"/>
      <c r="AC607" s="46">
        <f t="shared" si="505"/>
        <v>1.6059424728659066E-2</v>
      </c>
      <c r="AD607" s="33"/>
      <c r="AE607" s="33">
        <f t="shared" si="506"/>
        <v>1195.9214046822742</v>
      </c>
      <c r="AF607" s="50"/>
      <c r="AG607" s="33"/>
      <c r="AH607" s="33"/>
      <c r="AI607" s="213"/>
      <c r="AJ607" s="50"/>
      <c r="AL607" s="23">
        <f t="shared" si="507"/>
        <v>21283</v>
      </c>
      <c r="AM607" s="24"/>
      <c r="AN607" s="24"/>
      <c r="AO607" s="24">
        <v>178263</v>
      </c>
      <c r="AP607" s="24">
        <v>37332949</v>
      </c>
      <c r="AQ607" s="24">
        <v>20336656</v>
      </c>
      <c r="AR607" s="461">
        <f t="shared" si="508"/>
        <v>5.7041140966474131E-4</v>
      </c>
      <c r="AS607" s="25"/>
      <c r="AT607" s="25"/>
      <c r="AU607" s="24"/>
      <c r="AV607" s="298">
        <f t="shared" si="509"/>
        <v>0.83833666036650178</v>
      </c>
      <c r="AW607" s="298"/>
      <c r="AX607" s="24">
        <f t="shared" si="510"/>
        <v>62429.680602006687</v>
      </c>
      <c r="AY607" s="308"/>
      <c r="BA607" s="65">
        <f t="shared" si="511"/>
        <v>385115</v>
      </c>
      <c r="BB607" s="66"/>
      <c r="BC607" s="66">
        <v>709381751</v>
      </c>
      <c r="BD607" s="66"/>
      <c r="BE607" s="66">
        <f t="shared" si="512"/>
        <v>23165</v>
      </c>
      <c r="BF607" s="66"/>
      <c r="BG607" s="144">
        <f t="shared" si="513"/>
        <v>6.0150864027628113E-2</v>
      </c>
      <c r="BH607" s="66"/>
      <c r="BI607" s="170"/>
      <c r="BJ607" s="66"/>
      <c r="BK607" s="66"/>
      <c r="BL607" s="66"/>
      <c r="BM607" s="144"/>
      <c r="BN607" s="65">
        <f t="shared" si="514"/>
        <v>1186257.1086956521</v>
      </c>
      <c r="BO607" s="66"/>
      <c r="BP607" s="66">
        <f t="shared" si="515"/>
        <v>43625190</v>
      </c>
      <c r="BQ607" s="66"/>
      <c r="BR607" s="435">
        <f t="shared" si="516"/>
        <v>6.1497479937286971E-2</v>
      </c>
      <c r="BS607" s="66"/>
      <c r="BT607" s="75"/>
      <c r="BU607" s="170"/>
      <c r="BV607" s="1"/>
      <c r="BW607" s="61">
        <f t="shared" si="399"/>
        <v>598</v>
      </c>
    </row>
    <row r="608" spans="2:75" x14ac:dyDescent="0.3">
      <c r="B608" s="158">
        <f t="shared" si="448"/>
        <v>44508</v>
      </c>
      <c r="C608" s="61"/>
      <c r="D608" s="17">
        <v>54847</v>
      </c>
      <c r="E608" s="16"/>
      <c r="F608" s="16"/>
      <c r="G608" s="16"/>
      <c r="H608" s="16">
        <f t="shared" si="497"/>
        <v>44587015</v>
      </c>
      <c r="I608" s="16"/>
      <c r="J608" s="436">
        <f t="shared" si="498"/>
        <v>1.231626540167548E-3</v>
      </c>
      <c r="K608" s="16"/>
      <c r="L608" s="16"/>
      <c r="M608" s="16"/>
      <c r="N608" s="16">
        <f t="shared" si="499"/>
        <v>428535</v>
      </c>
      <c r="O608" s="16">
        <f t="shared" si="500"/>
        <v>74435.751252086819</v>
      </c>
      <c r="P608" s="41"/>
      <c r="Q608" s="17">
        <f t="shared" si="501"/>
        <v>428535</v>
      </c>
      <c r="R608" s="16"/>
      <c r="S608" s="60">
        <f t="shared" si="502"/>
        <v>3.8090070274290171E-2</v>
      </c>
      <c r="T608" s="16"/>
      <c r="U608" s="41"/>
      <c r="V608" s="10">
        <f t="shared" si="349"/>
        <v>500</v>
      </c>
      <c r="W608" s="34">
        <v>483</v>
      </c>
      <c r="X608" s="33">
        <v>4256</v>
      </c>
      <c r="Y608" s="33"/>
      <c r="Z608" s="33">
        <f t="shared" si="503"/>
        <v>4958</v>
      </c>
      <c r="AA608" s="33">
        <f t="shared" si="504"/>
        <v>715644</v>
      </c>
      <c r="AB608" s="33"/>
      <c r="AC608" s="46">
        <f t="shared" si="505"/>
        <v>1.605050259587909E-2</v>
      </c>
      <c r="AD608" s="33"/>
      <c r="AE608" s="33">
        <f t="shared" si="506"/>
        <v>1194.7312186978297</v>
      </c>
      <c r="AF608" s="50"/>
      <c r="AG608" s="33"/>
      <c r="AH608" s="33"/>
      <c r="AI608" s="213"/>
      <c r="AJ608" s="50"/>
      <c r="AL608" s="23">
        <f t="shared" si="507"/>
        <v>163415</v>
      </c>
      <c r="AM608" s="24"/>
      <c r="AN608" s="24"/>
      <c r="AO608" s="24">
        <v>178263</v>
      </c>
      <c r="AP608" s="24">
        <v>37496364</v>
      </c>
      <c r="AQ608" s="24">
        <v>20336656</v>
      </c>
      <c r="AR608" s="461">
        <f t="shared" si="508"/>
        <v>4.3772325620459289E-3</v>
      </c>
      <c r="AS608" s="25"/>
      <c r="AT608" s="25"/>
      <c r="AU608" s="24"/>
      <c r="AV608" s="298">
        <f t="shared" si="509"/>
        <v>0.84097049331515017</v>
      </c>
      <c r="AW608" s="298"/>
      <c r="AX608" s="24">
        <f t="shared" si="510"/>
        <v>62598.270450751254</v>
      </c>
      <c r="AY608" s="308"/>
      <c r="BA608" s="65">
        <f t="shared" si="511"/>
        <v>3603531</v>
      </c>
      <c r="BB608" s="66"/>
      <c r="BC608" s="66">
        <v>712985282</v>
      </c>
      <c r="BD608" s="66"/>
      <c r="BE608" s="66">
        <f t="shared" si="512"/>
        <v>54847</v>
      </c>
      <c r="BF608" s="66"/>
      <c r="BG608" s="144">
        <f t="shared" si="513"/>
        <v>1.5220349151984539E-2</v>
      </c>
      <c r="BH608" s="66"/>
      <c r="BI608" s="170"/>
      <c r="BJ608" s="66"/>
      <c r="BK608" s="66"/>
      <c r="BL608" s="66"/>
      <c r="BM608" s="144"/>
      <c r="BN608" s="65">
        <f t="shared" si="514"/>
        <v>1190292.6243739566</v>
      </c>
      <c r="BO608" s="66"/>
      <c r="BP608" s="66">
        <f t="shared" si="515"/>
        <v>43680037</v>
      </c>
      <c r="BQ608" s="66"/>
      <c r="BR608" s="435">
        <f t="shared" si="516"/>
        <v>6.1263588607990367E-2</v>
      </c>
      <c r="BS608" s="66"/>
      <c r="BT608" s="75"/>
      <c r="BU608" s="170"/>
      <c r="BV608" s="1"/>
      <c r="BW608" s="61">
        <f t="shared" si="399"/>
        <v>599</v>
      </c>
    </row>
    <row r="609" spans="2:75" x14ac:dyDescent="0.3">
      <c r="B609" s="158">
        <f t="shared" si="448"/>
        <v>44509</v>
      </c>
      <c r="C609" s="61"/>
      <c r="D609" s="17">
        <v>72358</v>
      </c>
      <c r="E609" s="16"/>
      <c r="F609" s="16"/>
      <c r="G609" s="16"/>
      <c r="H609" s="16">
        <f t="shared" si="497"/>
        <v>44659373</v>
      </c>
      <c r="I609" s="16"/>
      <c r="J609" s="436">
        <f t="shared" si="498"/>
        <v>1.6228491635961726E-3</v>
      </c>
      <c r="K609" s="16"/>
      <c r="L609" s="16"/>
      <c r="M609" s="16"/>
      <c r="N609" s="16">
        <f t="shared" si="499"/>
        <v>424367</v>
      </c>
      <c r="O609" s="16">
        <f t="shared" si="500"/>
        <v>74432.28833333333</v>
      </c>
      <c r="P609" s="41"/>
      <c r="Q609" s="17">
        <f t="shared" si="501"/>
        <v>424367</v>
      </c>
      <c r="R609" s="16"/>
      <c r="S609" s="60">
        <f t="shared" si="502"/>
        <v>1.1112620114700157E-2</v>
      </c>
      <c r="T609" s="16"/>
      <c r="U609" s="41"/>
      <c r="V609" s="10">
        <f t="shared" si="349"/>
        <v>501</v>
      </c>
      <c r="W609" s="34">
        <v>1339</v>
      </c>
      <c r="X609" s="33">
        <v>4256</v>
      </c>
      <c r="Y609" s="33"/>
      <c r="Z609" s="33">
        <f t="shared" si="503"/>
        <v>4861</v>
      </c>
      <c r="AA609" s="33">
        <f t="shared" si="504"/>
        <v>716983</v>
      </c>
      <c r="AB609" s="33"/>
      <c r="AC609" s="46">
        <f t="shared" si="505"/>
        <v>1.6054479761728854E-2</v>
      </c>
      <c r="AD609" s="33"/>
      <c r="AE609" s="33">
        <f t="shared" si="506"/>
        <v>1194.9716666666666</v>
      </c>
      <c r="AF609" s="50"/>
      <c r="AG609" s="33"/>
      <c r="AH609" s="33"/>
      <c r="AI609" s="213"/>
      <c r="AJ609" s="50"/>
      <c r="AL609" s="23">
        <f t="shared" si="507"/>
        <v>108176</v>
      </c>
      <c r="AM609" s="24"/>
      <c r="AN609" s="24"/>
      <c r="AO609" s="24">
        <v>178263</v>
      </c>
      <c r="AP609" s="24">
        <v>37604540</v>
      </c>
      <c r="AQ609" s="24">
        <v>20336656</v>
      </c>
      <c r="AR609" s="461">
        <f t="shared" si="508"/>
        <v>2.8849730603212622E-3</v>
      </c>
      <c r="AS609" s="25"/>
      <c r="AT609" s="25"/>
      <c r="AU609" s="24"/>
      <c r="AV609" s="298">
        <f t="shared" si="509"/>
        <v>0.84203018255540663</v>
      </c>
      <c r="AW609" s="298"/>
      <c r="AX609" s="24">
        <f t="shared" si="510"/>
        <v>62674.23333333333</v>
      </c>
      <c r="AY609" s="308"/>
      <c r="BA609" s="65">
        <f t="shared" si="511"/>
        <v>1458675</v>
      </c>
      <c r="BB609" s="66"/>
      <c r="BC609" s="66">
        <v>714443957</v>
      </c>
      <c r="BD609" s="66"/>
      <c r="BE609" s="66">
        <f t="shared" si="512"/>
        <v>72358</v>
      </c>
      <c r="BF609" s="66"/>
      <c r="BG609" s="144">
        <f t="shared" si="513"/>
        <v>4.9605292474334588E-2</v>
      </c>
      <c r="BH609" s="66"/>
      <c r="BI609" s="170"/>
      <c r="BJ609" s="66"/>
      <c r="BK609" s="66"/>
      <c r="BL609" s="66"/>
      <c r="BM609" s="144"/>
      <c r="BN609" s="65">
        <f t="shared" si="514"/>
        <v>1190739.9283333332</v>
      </c>
      <c r="BO609" s="66"/>
      <c r="BP609" s="66">
        <f t="shared" si="515"/>
        <v>43752395</v>
      </c>
      <c r="BQ609" s="66"/>
      <c r="BR609" s="435">
        <f t="shared" si="516"/>
        <v>6.1239785950068577E-2</v>
      </c>
      <c r="BS609" s="66"/>
      <c r="BT609" s="75"/>
      <c r="BU609" s="170"/>
      <c r="BV609" s="1"/>
      <c r="BW609" s="61">
        <f t="shared" si="399"/>
        <v>600</v>
      </c>
    </row>
    <row r="610" spans="2:75" x14ac:dyDescent="0.3">
      <c r="B610" s="158">
        <f t="shared" si="448"/>
        <v>44510</v>
      </c>
      <c r="C610" s="61"/>
      <c r="D610" s="17">
        <v>94376</v>
      </c>
      <c r="E610" s="16"/>
      <c r="F610" s="16"/>
      <c r="G610" s="16"/>
      <c r="H610" s="16">
        <f t="shared" si="497"/>
        <v>44753749</v>
      </c>
      <c r="I610" s="16"/>
      <c r="J610" s="436">
        <f t="shared" si="498"/>
        <v>2.1132405956527872E-3</v>
      </c>
      <c r="K610" s="16"/>
      <c r="L610" s="16"/>
      <c r="M610" s="16"/>
      <c r="N610" s="16">
        <f t="shared" si="499"/>
        <v>443104</v>
      </c>
      <c r="O610" s="16">
        <f t="shared" si="500"/>
        <v>74465.472545757075</v>
      </c>
      <c r="P610" s="41"/>
      <c r="Q610" s="17">
        <f t="shared" si="501"/>
        <v>443104</v>
      </c>
      <c r="R610" s="16"/>
      <c r="S610" s="60">
        <f t="shared" si="502"/>
        <v>6.4105088734660545E-2</v>
      </c>
      <c r="T610" s="16"/>
      <c r="U610" s="41"/>
      <c r="V610" s="10">
        <f t="shared" si="349"/>
        <v>502</v>
      </c>
      <c r="W610" s="34">
        <v>1493</v>
      </c>
      <c r="X610" s="33">
        <v>4256</v>
      </c>
      <c r="Y610" s="33"/>
      <c r="Z610" s="33">
        <f t="shared" si="503"/>
        <v>5205</v>
      </c>
      <c r="AA610" s="33">
        <f t="shared" si="504"/>
        <v>718476</v>
      </c>
      <c r="AB610" s="33"/>
      <c r="AC610" s="46">
        <f t="shared" si="505"/>
        <v>1.6053984661709569E-2</v>
      </c>
      <c r="AD610" s="33"/>
      <c r="AE610" s="33">
        <f t="shared" si="506"/>
        <v>1195.467554076539</v>
      </c>
      <c r="AF610" s="50"/>
      <c r="AG610" s="33"/>
      <c r="AH610" s="33"/>
      <c r="AI610" s="213"/>
      <c r="AJ610" s="50"/>
      <c r="AL610" s="23">
        <f t="shared" si="507"/>
        <v>97225</v>
      </c>
      <c r="AM610" s="24"/>
      <c r="AN610" s="24"/>
      <c r="AO610" s="24">
        <v>178263</v>
      </c>
      <c r="AP610" s="24">
        <v>37701765</v>
      </c>
      <c r="AQ610" s="24">
        <v>20336656</v>
      </c>
      <c r="AR610" s="461">
        <f t="shared" si="508"/>
        <v>2.5854590961623251E-3</v>
      </c>
      <c r="AS610" s="25"/>
      <c r="AT610" s="25"/>
      <c r="AU610" s="24"/>
      <c r="AV610" s="298">
        <f t="shared" si="509"/>
        <v>0.84242696628610936</v>
      </c>
      <c r="AW610" s="298"/>
      <c r="AX610" s="24">
        <f t="shared" si="510"/>
        <v>62731.722129783695</v>
      </c>
      <c r="AY610" s="308"/>
      <c r="BA610" s="65">
        <f t="shared" si="511"/>
        <v>1594643</v>
      </c>
      <c r="BB610" s="66"/>
      <c r="BC610" s="66">
        <v>716038600</v>
      </c>
      <c r="BD610" s="66"/>
      <c r="BE610" s="66">
        <f t="shared" si="512"/>
        <v>94376</v>
      </c>
      <c r="BF610" s="66"/>
      <c r="BG610" s="144">
        <f t="shared" si="513"/>
        <v>5.9183152592774686E-2</v>
      </c>
      <c r="BH610" s="66"/>
      <c r="BI610" s="170"/>
      <c r="BJ610" s="66"/>
      <c r="BK610" s="66"/>
      <c r="BL610" s="66"/>
      <c r="BM610" s="144"/>
      <c r="BN610" s="65">
        <f t="shared" si="514"/>
        <v>1191411.9800332778</v>
      </c>
      <c r="BO610" s="66"/>
      <c r="BP610" s="66">
        <f t="shared" si="515"/>
        <v>43846771</v>
      </c>
      <c r="BQ610" s="66"/>
      <c r="BR610" s="435">
        <f t="shared" si="516"/>
        <v>6.1235205755667363E-2</v>
      </c>
      <c r="BS610" s="66"/>
      <c r="BT610" s="75"/>
      <c r="BU610" s="170"/>
      <c r="BV610" s="1"/>
      <c r="BW610" s="61">
        <f t="shared" si="399"/>
        <v>601</v>
      </c>
    </row>
    <row r="611" spans="2:75" x14ac:dyDescent="0.3">
      <c r="B611" s="158">
        <f t="shared" si="448"/>
        <v>44511</v>
      </c>
      <c r="C611" s="61"/>
      <c r="D611" s="17">
        <v>43596</v>
      </c>
      <c r="E611" s="16"/>
      <c r="F611" s="16"/>
      <c r="G611" s="16"/>
      <c r="H611" s="16">
        <f t="shared" si="497"/>
        <v>44797345</v>
      </c>
      <c r="I611" s="16"/>
      <c r="J611" s="436">
        <f t="shared" si="498"/>
        <v>9.7413068120840557E-4</v>
      </c>
      <c r="K611" s="16"/>
      <c r="L611" s="16"/>
      <c r="M611" s="16"/>
      <c r="N611" s="16">
        <f t="shared" si="499"/>
        <v>405667</v>
      </c>
      <c r="O611" s="16">
        <f t="shared" si="500"/>
        <v>74414.194352159466</v>
      </c>
      <c r="P611" s="41"/>
      <c r="Q611" s="17">
        <f t="shared" si="501"/>
        <v>405667</v>
      </c>
      <c r="R611" s="16"/>
      <c r="S611" s="60">
        <f t="shared" si="502"/>
        <v>-3.1781719067360728E-2</v>
      </c>
      <c r="T611" s="16"/>
      <c r="U611" s="41"/>
      <c r="V611" s="10">
        <f t="shared" si="349"/>
        <v>503</v>
      </c>
      <c r="W611" s="34">
        <v>539</v>
      </c>
      <c r="X611" s="33">
        <v>4256</v>
      </c>
      <c r="Y611" s="33"/>
      <c r="Z611" s="33">
        <f t="shared" si="503"/>
        <v>4399</v>
      </c>
      <c r="AA611" s="33">
        <f t="shared" si="504"/>
        <v>719015</v>
      </c>
      <c r="AB611" s="33"/>
      <c r="AC611" s="46">
        <f t="shared" si="505"/>
        <v>1.6050393165041366E-2</v>
      </c>
      <c r="AD611" s="33"/>
      <c r="AE611" s="33">
        <f t="shared" si="506"/>
        <v>1194.3770764119602</v>
      </c>
      <c r="AF611" s="50"/>
      <c r="AG611" s="33"/>
      <c r="AH611" s="33"/>
      <c r="AI611" s="213"/>
      <c r="AJ611" s="50"/>
      <c r="AL611" s="23">
        <f t="shared" si="507"/>
        <v>27724</v>
      </c>
      <c r="AM611" s="24"/>
      <c r="AN611" s="24"/>
      <c r="AO611" s="24">
        <v>178263</v>
      </c>
      <c r="AP611" s="24">
        <v>37729489</v>
      </c>
      <c r="AQ611" s="24">
        <v>20336656</v>
      </c>
      <c r="AR611" s="461">
        <f t="shared" si="508"/>
        <v>7.3535018851239456E-4</v>
      </c>
      <c r="AS611" s="25"/>
      <c r="AT611" s="25"/>
      <c r="AU611" s="24"/>
      <c r="AV611" s="298">
        <f t="shared" si="509"/>
        <v>0.84222600692072269</v>
      </c>
      <c r="AW611" s="298"/>
      <c r="AX611" s="24">
        <f t="shared" si="510"/>
        <v>62673.569767441862</v>
      </c>
      <c r="AY611" s="308"/>
      <c r="BA611" s="65">
        <f t="shared" si="511"/>
        <v>657149</v>
      </c>
      <c r="BB611" s="66"/>
      <c r="BC611" s="66">
        <v>716695749</v>
      </c>
      <c r="BD611" s="66"/>
      <c r="BE611" s="66">
        <f t="shared" si="512"/>
        <v>43596</v>
      </c>
      <c r="BF611" s="66"/>
      <c r="BG611" s="144">
        <f t="shared" si="513"/>
        <v>6.6341118985192099E-2</v>
      </c>
      <c r="BH611" s="66"/>
      <c r="BI611" s="170"/>
      <c r="BJ611" s="66"/>
      <c r="BK611" s="66"/>
      <c r="BL611" s="66"/>
      <c r="BM611" s="144"/>
      <c r="BN611" s="65">
        <f t="shared" si="514"/>
        <v>1190524.5</v>
      </c>
      <c r="BO611" s="66"/>
      <c r="BP611" s="66">
        <f t="shared" si="515"/>
        <v>43890367</v>
      </c>
      <c r="BQ611" s="66"/>
      <c r="BR611" s="435">
        <f t="shared" si="516"/>
        <v>6.1239887443507078E-2</v>
      </c>
      <c r="BS611" s="66"/>
      <c r="BT611" s="75"/>
      <c r="BU611" s="170"/>
      <c r="BV611" s="1"/>
      <c r="BW611" s="61">
        <f t="shared" si="399"/>
        <v>602</v>
      </c>
    </row>
    <row r="612" spans="2:75" x14ac:dyDescent="0.3">
      <c r="B612" s="158">
        <f t="shared" si="448"/>
        <v>44512</v>
      </c>
      <c r="C612" s="61"/>
      <c r="D612" s="17">
        <v>90208</v>
      </c>
      <c r="E612" s="16"/>
      <c r="F612" s="16"/>
      <c r="G612" s="16"/>
      <c r="H612" s="16">
        <f t="shared" si="497"/>
        <v>44887553</v>
      </c>
      <c r="I612" s="16"/>
      <c r="J612" s="436">
        <f t="shared" si="498"/>
        <v>2.0136907667184295E-3</v>
      </c>
      <c r="K612" s="16"/>
      <c r="L612" s="16"/>
      <c r="M612" s="16"/>
      <c r="N612" s="16">
        <f t="shared" si="499"/>
        <v>411029</v>
      </c>
      <c r="O612" s="16">
        <f t="shared" si="500"/>
        <v>74440.386401326701</v>
      </c>
      <c r="P612" s="41"/>
      <c r="Q612" s="17">
        <f t="shared" si="501"/>
        <v>411029</v>
      </c>
      <c r="R612" s="16"/>
      <c r="S612" s="60">
        <f t="shared" si="502"/>
        <v>-2.9126511715797429E-2</v>
      </c>
      <c r="T612" s="16"/>
      <c r="U612" s="41"/>
      <c r="V612" s="10">
        <f t="shared" si="349"/>
        <v>504</v>
      </c>
      <c r="W612" s="34">
        <v>987</v>
      </c>
      <c r="X612" s="33">
        <v>4256</v>
      </c>
      <c r="Y612" s="33"/>
      <c r="Z612" s="33">
        <f t="shared" si="503"/>
        <v>4964</v>
      </c>
      <c r="AA612" s="33">
        <f t="shared" si="504"/>
        <v>720002</v>
      </c>
      <c r="AB612" s="33"/>
      <c r="AC612" s="46">
        <f t="shared" si="505"/>
        <v>1.6040125867409168E-2</v>
      </c>
      <c r="AD612" s="33"/>
      <c r="AE612" s="33">
        <f t="shared" si="506"/>
        <v>1194.0331674958541</v>
      </c>
      <c r="AF612" s="50"/>
      <c r="AG612" s="33"/>
      <c r="AH612" s="33"/>
      <c r="AI612" s="213"/>
      <c r="AJ612" s="50"/>
      <c r="AL612" s="23">
        <f t="shared" si="507"/>
        <v>116816</v>
      </c>
      <c r="AM612" s="24"/>
      <c r="AN612" s="24"/>
      <c r="AO612" s="24">
        <v>178263</v>
      </c>
      <c r="AP612" s="24">
        <v>37846305</v>
      </c>
      <c r="AQ612" s="24">
        <v>20336656</v>
      </c>
      <c r="AR612" s="461">
        <f t="shared" si="508"/>
        <v>3.0961458290622488E-3</v>
      </c>
      <c r="AS612" s="25"/>
      <c r="AT612" s="25"/>
      <c r="AU612" s="24"/>
      <c r="AV612" s="298">
        <f t="shared" si="509"/>
        <v>0.84313584658981078</v>
      </c>
      <c r="AW612" s="298"/>
      <c r="AX612" s="24">
        <f t="shared" si="510"/>
        <v>62763.358208955222</v>
      </c>
      <c r="AY612" s="308"/>
      <c r="BA612" s="65">
        <f t="shared" si="511"/>
        <v>2392195</v>
      </c>
      <c r="BB612" s="66"/>
      <c r="BC612" s="66">
        <v>719087944</v>
      </c>
      <c r="BD612" s="66"/>
      <c r="BE612" s="66">
        <f t="shared" si="512"/>
        <v>90208</v>
      </c>
      <c r="BF612" s="66"/>
      <c r="BG612" s="144">
        <f t="shared" si="513"/>
        <v>3.7709300454185385E-2</v>
      </c>
      <c r="BH612" s="66"/>
      <c r="BI612" s="170"/>
      <c r="BJ612" s="66"/>
      <c r="BK612" s="66"/>
      <c r="BL612" s="66"/>
      <c r="BM612" s="144"/>
      <c r="BN612" s="65">
        <f t="shared" si="514"/>
        <v>1192517.3200663349</v>
      </c>
      <c r="BO612" s="66"/>
      <c r="BP612" s="66">
        <f t="shared" si="515"/>
        <v>43980575</v>
      </c>
      <c r="BQ612" s="66"/>
      <c r="BR612" s="435">
        <f t="shared" si="516"/>
        <v>6.1161608071682534E-2</v>
      </c>
      <c r="BS612" s="66"/>
      <c r="BT612" s="75"/>
      <c r="BU612" s="170"/>
      <c r="BV612" s="1"/>
      <c r="BW612" s="61">
        <f t="shared" si="399"/>
        <v>603</v>
      </c>
    </row>
    <row r="613" spans="2:75" x14ac:dyDescent="0.3">
      <c r="B613" s="158">
        <f t="shared" si="448"/>
        <v>44513</v>
      </c>
      <c r="C613" s="61"/>
      <c r="D613" s="17">
        <v>41107</v>
      </c>
      <c r="E613" s="16"/>
      <c r="F613" s="16"/>
      <c r="G613" s="16"/>
      <c r="H613" s="16">
        <f t="shared" si="497"/>
        <v>44928660</v>
      </c>
      <c r="I613" s="16"/>
      <c r="J613" s="436">
        <f t="shared" si="498"/>
        <v>9.1577725344039139E-4</v>
      </c>
      <c r="K613" s="16"/>
      <c r="L613" s="16"/>
      <c r="M613" s="16"/>
      <c r="N613" s="16">
        <f t="shared" si="499"/>
        <v>419657</v>
      </c>
      <c r="O613" s="16">
        <f t="shared" si="500"/>
        <v>74385.198675496693</v>
      </c>
      <c r="P613" s="41"/>
      <c r="Q613" s="17">
        <f t="shared" si="501"/>
        <v>419657</v>
      </c>
      <c r="R613" s="16"/>
      <c r="S613" s="60">
        <f t="shared" si="502"/>
        <v>-1.2708823951498497E-2</v>
      </c>
      <c r="T613" s="16"/>
      <c r="U613" s="41"/>
      <c r="V613" s="10">
        <f t="shared" si="349"/>
        <v>505</v>
      </c>
      <c r="W613" s="34">
        <v>506</v>
      </c>
      <c r="X613" s="33">
        <v>4256</v>
      </c>
      <c r="Y613" s="33"/>
      <c r="Z613" s="33">
        <f t="shared" si="503"/>
        <v>5347</v>
      </c>
      <c r="AA613" s="33">
        <f t="shared" si="504"/>
        <v>720508</v>
      </c>
      <c r="AB613" s="33"/>
      <c r="AC613" s="46">
        <f t="shared" si="505"/>
        <v>1.6036712423651185E-2</v>
      </c>
      <c r="AD613" s="33"/>
      <c r="AE613" s="33">
        <f t="shared" si="506"/>
        <v>1192.8940397350993</v>
      </c>
      <c r="AF613" s="50"/>
      <c r="AG613" s="33"/>
      <c r="AH613" s="33"/>
      <c r="AI613" s="213"/>
      <c r="AJ613" s="50"/>
      <c r="AL613" s="23">
        <f t="shared" si="507"/>
        <v>51030</v>
      </c>
      <c r="AM613" s="24"/>
      <c r="AN613" s="24"/>
      <c r="AO613" s="24">
        <v>178263</v>
      </c>
      <c r="AP613" s="24">
        <v>37897335</v>
      </c>
      <c r="AQ613" s="24">
        <v>20336656</v>
      </c>
      <c r="AR613" s="461">
        <f t="shared" si="508"/>
        <v>1.3483482733651277E-3</v>
      </c>
      <c r="AS613" s="25"/>
      <c r="AT613" s="25"/>
      <c r="AU613" s="24"/>
      <c r="AV613" s="298">
        <f t="shared" si="509"/>
        <v>0.84350022902975519</v>
      </c>
      <c r="AW613" s="298"/>
      <c r="AX613" s="24">
        <f t="shared" si="510"/>
        <v>62743.932119205296</v>
      </c>
      <c r="AY613" s="308"/>
      <c r="BA613" s="65">
        <f t="shared" si="511"/>
        <v>1335550</v>
      </c>
      <c r="BB613" s="66"/>
      <c r="BC613" s="66">
        <v>720423494</v>
      </c>
      <c r="BD613" s="66"/>
      <c r="BE613" s="66">
        <f t="shared" si="512"/>
        <v>41107</v>
      </c>
      <c r="BF613" s="66"/>
      <c r="BG613" s="144">
        <f t="shared" si="513"/>
        <v>3.0779079779865971E-2</v>
      </c>
      <c r="BH613" s="66"/>
      <c r="BI613" s="170"/>
      <c r="BJ613" s="66"/>
      <c r="BK613" s="66"/>
      <c r="BL613" s="66"/>
      <c r="BM613" s="144"/>
      <c r="BN613" s="65">
        <f t="shared" si="514"/>
        <v>1192754.129139073</v>
      </c>
      <c r="BO613" s="66"/>
      <c r="BP613" s="66">
        <f t="shared" si="515"/>
        <v>44021682</v>
      </c>
      <c r="BQ613" s="66"/>
      <c r="BR613" s="435">
        <f t="shared" si="516"/>
        <v>6.1105283720799923E-2</v>
      </c>
      <c r="BS613" s="66"/>
      <c r="BT613" s="75"/>
      <c r="BU613" s="170"/>
      <c r="BV613" s="1"/>
      <c r="BW613" s="61">
        <f t="shared" si="399"/>
        <v>604</v>
      </c>
    </row>
    <row r="614" spans="2:75" x14ac:dyDescent="0.3">
      <c r="B614" s="347">
        <f t="shared" si="448"/>
        <v>44514</v>
      </c>
      <c r="C614" s="61"/>
      <c r="D614" s="17">
        <v>36669</v>
      </c>
      <c r="E614" s="16"/>
      <c r="F614" s="16"/>
      <c r="G614" s="16"/>
      <c r="H614" s="16">
        <f t="shared" si="497"/>
        <v>44965329</v>
      </c>
      <c r="I614" s="16"/>
      <c r="J614" s="436">
        <f t="shared" si="498"/>
        <v>8.1616055319700168E-4</v>
      </c>
      <c r="K614" s="16"/>
      <c r="L614" s="16"/>
      <c r="M614" s="16"/>
      <c r="N614" s="16">
        <f t="shared" si="499"/>
        <v>433161</v>
      </c>
      <c r="O614" s="16">
        <f t="shared" si="500"/>
        <v>74322.857851239663</v>
      </c>
      <c r="P614" s="41"/>
      <c r="Q614" s="17">
        <f t="shared" si="501"/>
        <v>433161</v>
      </c>
      <c r="R614" s="16"/>
      <c r="S614" s="60">
        <f t="shared" si="502"/>
        <v>1.1469962568505706E-2</v>
      </c>
      <c r="T614" s="16"/>
      <c r="U614" s="41"/>
      <c r="V614" s="10">
        <f t="shared" si="349"/>
        <v>506</v>
      </c>
      <c r="W614" s="34">
        <v>243</v>
      </c>
      <c r="X614" s="33">
        <v>4256</v>
      </c>
      <c r="Y614" s="33"/>
      <c r="Z614" s="33">
        <f t="shared" si="503"/>
        <v>5107</v>
      </c>
      <c r="AA614" s="33">
        <f t="shared" si="504"/>
        <v>720751</v>
      </c>
      <c r="AB614" s="33"/>
      <c r="AC614" s="46">
        <f t="shared" si="505"/>
        <v>1.6029038728928236E-2</v>
      </c>
      <c r="AD614" s="33"/>
      <c r="AE614" s="33">
        <f t="shared" si="506"/>
        <v>1191.3239669421487</v>
      </c>
      <c r="AF614" s="50"/>
      <c r="AG614" s="33"/>
      <c r="AH614" s="33"/>
      <c r="AI614" s="213"/>
      <c r="AJ614" s="50"/>
      <c r="AL614" s="23">
        <f t="shared" si="507"/>
        <v>46343</v>
      </c>
      <c r="AM614" s="24"/>
      <c r="AN614" s="24"/>
      <c r="AO614" s="24">
        <v>178263</v>
      </c>
      <c r="AP614" s="24">
        <v>37943678</v>
      </c>
      <c r="AQ614" s="24">
        <v>20336656</v>
      </c>
      <c r="AR614" s="461">
        <f t="shared" si="508"/>
        <v>1.2228564356834063E-3</v>
      </c>
      <c r="AS614" s="25"/>
      <c r="AT614" s="25"/>
      <c r="AU614" s="24"/>
      <c r="AV614" s="298">
        <f t="shared" si="509"/>
        <v>0.84384299734579948</v>
      </c>
      <c r="AW614" s="298"/>
      <c r="AX614" s="24">
        <f t="shared" si="510"/>
        <v>62716.823140495864</v>
      </c>
      <c r="AY614" s="308"/>
      <c r="BA614" s="65">
        <f t="shared" si="511"/>
        <v>762810</v>
      </c>
      <c r="BB614" s="66"/>
      <c r="BC614" s="66">
        <v>721186304</v>
      </c>
      <c r="BD614" s="66"/>
      <c r="BE614" s="66">
        <f t="shared" si="512"/>
        <v>36669</v>
      </c>
      <c r="BF614" s="66"/>
      <c r="BG614" s="144">
        <f t="shared" si="513"/>
        <v>4.8070948204664336E-2</v>
      </c>
      <c r="BH614" s="66"/>
      <c r="BI614" s="170"/>
      <c r="BJ614" s="66"/>
      <c r="BK614" s="66"/>
      <c r="BL614" s="66"/>
      <c r="BM614" s="144"/>
      <c r="BN614" s="65">
        <f t="shared" si="514"/>
        <v>1192043.4776859505</v>
      </c>
      <c r="BO614" s="66"/>
      <c r="BP614" s="66">
        <f t="shared" si="515"/>
        <v>44058351</v>
      </c>
      <c r="BQ614" s="66"/>
      <c r="BR614" s="435">
        <f t="shared" si="516"/>
        <v>6.109149710086563E-2</v>
      </c>
      <c r="BS614" s="66"/>
      <c r="BT614" s="75"/>
      <c r="BU614" s="170"/>
      <c r="BV614" s="1"/>
      <c r="BW614" s="61">
        <f t="shared" si="399"/>
        <v>605</v>
      </c>
    </row>
    <row r="615" spans="2:75" x14ac:dyDescent="0.3">
      <c r="B615" s="158">
        <f t="shared" si="448"/>
        <v>44515</v>
      </c>
      <c r="C615" s="61"/>
      <c r="D615" s="17">
        <v>70823</v>
      </c>
      <c r="E615" s="16"/>
      <c r="F615" s="16"/>
      <c r="G615" s="16"/>
      <c r="H615" s="16">
        <f t="shared" si="497"/>
        <v>45036152</v>
      </c>
      <c r="I615" s="16"/>
      <c r="J615" s="436">
        <f t="shared" si="498"/>
        <v>1.575057974111565E-3</v>
      </c>
      <c r="K615" s="16"/>
      <c r="L615" s="16"/>
      <c r="M615" s="16"/>
      <c r="N615" s="16">
        <f t="shared" si="499"/>
        <v>449137</v>
      </c>
      <c r="O615" s="16">
        <f t="shared" si="500"/>
        <v>74317.082508250824</v>
      </c>
      <c r="P615" s="41"/>
      <c r="Q615" s="17">
        <f t="shared" si="501"/>
        <v>449137</v>
      </c>
      <c r="R615" s="16"/>
      <c r="S615" s="60">
        <f t="shared" si="502"/>
        <v>4.8075419744011576E-2</v>
      </c>
      <c r="T615" s="16"/>
      <c r="U615" s="41"/>
      <c r="V615" s="10">
        <f t="shared" si="349"/>
        <v>507</v>
      </c>
      <c r="W615" s="34">
        <v>510</v>
      </c>
      <c r="X615" s="33">
        <v>4256</v>
      </c>
      <c r="Y615" s="33"/>
      <c r="Z615" s="33">
        <f t="shared" si="503"/>
        <v>4278</v>
      </c>
      <c r="AA615" s="33">
        <f t="shared" si="504"/>
        <v>721261</v>
      </c>
      <c r="AB615" s="33"/>
      <c r="AC615" s="46">
        <f t="shared" si="505"/>
        <v>1.6015156001782747E-2</v>
      </c>
      <c r="AD615" s="33"/>
      <c r="AE615" s="33">
        <f t="shared" si="506"/>
        <v>1190.1996699669967</v>
      </c>
      <c r="AF615" s="50"/>
      <c r="AG615" s="33"/>
      <c r="AH615" s="33"/>
      <c r="AI615" s="213"/>
      <c r="AJ615" s="50"/>
      <c r="AL615" s="23">
        <f t="shared" si="507"/>
        <v>106831</v>
      </c>
      <c r="AM615" s="24"/>
      <c r="AN615" s="24"/>
      <c r="AO615" s="24">
        <v>178263</v>
      </c>
      <c r="AP615" s="24">
        <v>38050509</v>
      </c>
      <c r="AQ615" s="24">
        <v>20336656</v>
      </c>
      <c r="AR615" s="461">
        <f t="shared" si="508"/>
        <v>2.8155151432604926E-3</v>
      </c>
      <c r="AS615" s="25"/>
      <c r="AT615" s="25"/>
      <c r="AU615" s="24"/>
      <c r="AV615" s="298">
        <f t="shared" si="509"/>
        <v>0.84488810234053746</v>
      </c>
      <c r="AW615" s="298"/>
      <c r="AX615" s="24">
        <f t="shared" si="510"/>
        <v>62789.618811881192</v>
      </c>
      <c r="AY615" s="308"/>
      <c r="BA615" s="65">
        <f t="shared" si="511"/>
        <v>2805699</v>
      </c>
      <c r="BB615" s="66"/>
      <c r="BC615" s="66">
        <v>723992003</v>
      </c>
      <c r="BD615" s="66"/>
      <c r="BE615" s="66">
        <f t="shared" si="512"/>
        <v>70823</v>
      </c>
      <c r="BF615" s="66"/>
      <c r="BG615" s="144">
        <f t="shared" si="513"/>
        <v>2.5242550965017988E-2</v>
      </c>
      <c r="BH615" s="66"/>
      <c r="BI615" s="170"/>
      <c r="BJ615" s="66"/>
      <c r="BK615" s="66"/>
      <c r="BL615" s="66"/>
      <c r="BM615" s="144"/>
      <c r="BN615" s="65">
        <f t="shared" si="514"/>
        <v>1194706.2755775577</v>
      </c>
      <c r="BO615" s="66"/>
      <c r="BP615" s="66">
        <f t="shared" si="515"/>
        <v>44129174</v>
      </c>
      <c r="BQ615" s="66"/>
      <c r="BR615" s="435">
        <f t="shared" si="516"/>
        <v>6.0952571046561682E-2</v>
      </c>
      <c r="BS615" s="66"/>
      <c r="BT615" s="75"/>
      <c r="BU615" s="170"/>
      <c r="BV615" s="1"/>
      <c r="BW615" s="61">
        <f t="shared" si="399"/>
        <v>606</v>
      </c>
    </row>
    <row r="616" spans="2:75" x14ac:dyDescent="0.3">
      <c r="B616" s="158">
        <f t="shared" si="448"/>
        <v>44516</v>
      </c>
      <c r="C616" s="61"/>
      <c r="D616" s="17">
        <v>97632</v>
      </c>
      <c r="E616" s="16"/>
      <c r="F616" s="16"/>
      <c r="G616" s="16"/>
      <c r="H616" s="16">
        <f t="shared" ref="H616:H647" si="517">+H615+D616</f>
        <v>45133784</v>
      </c>
      <c r="I616" s="16"/>
      <c r="J616" s="436">
        <f t="shared" ref="J616:J647" si="518">+D616/H615</f>
        <v>2.1678583907435074E-3</v>
      </c>
      <c r="K616" s="16"/>
      <c r="L616" s="16"/>
      <c r="M616" s="16"/>
      <c r="N616" s="16">
        <f t="shared" ref="N616:N647" si="519">SUM(D610:D616)</f>
        <v>474411</v>
      </c>
      <c r="O616" s="16">
        <f t="shared" ref="O616:O647" si="520">+H616/BW616</f>
        <v>74355.492586490946</v>
      </c>
      <c r="P616" s="41"/>
      <c r="Q616" s="17">
        <f t="shared" ref="Q616:Q647" si="521">SUM(D610:D616)</f>
        <v>474411</v>
      </c>
      <c r="R616" s="16"/>
      <c r="S616" s="60">
        <f t="shared" ref="S616:S647" si="522">+(Q616-Q609)/Q609</f>
        <v>0.11792622894805675</v>
      </c>
      <c r="T616" s="16"/>
      <c r="U616" s="41"/>
      <c r="V616" s="10">
        <f t="shared" si="349"/>
        <v>508</v>
      </c>
      <c r="W616" s="34">
        <v>1432</v>
      </c>
      <c r="X616" s="33">
        <v>4256</v>
      </c>
      <c r="Y616" s="33"/>
      <c r="Z616" s="33">
        <f t="shared" ref="Z616:Z647" si="523">SUM(W611:W616)</f>
        <v>4217</v>
      </c>
      <c r="AA616" s="33">
        <f t="shared" ref="AA616:AA647" si="524">+AA615+W616</f>
        <v>722693</v>
      </c>
      <c r="AB616" s="33"/>
      <c r="AC616" s="46">
        <f t="shared" ref="AC616:AC647" si="525">+AA616/H616</f>
        <v>1.6012240409534462E-2</v>
      </c>
      <c r="AD616" s="33"/>
      <c r="AE616" s="33">
        <f t="shared" ref="AE616:AE647" si="526">+AA616/BW616</f>
        <v>1190.5980230642504</v>
      </c>
      <c r="AF616" s="50"/>
      <c r="AG616" s="33"/>
      <c r="AH616" s="33"/>
      <c r="AI616" s="213"/>
      <c r="AJ616" s="50"/>
      <c r="AL616" s="23">
        <f t="shared" ref="AL616:AL647" si="527">+AP616-AP615</f>
        <v>89419</v>
      </c>
      <c r="AM616" s="24"/>
      <c r="AN616" s="24"/>
      <c r="AO616" s="24">
        <v>178263</v>
      </c>
      <c r="AP616" s="24">
        <v>38139928</v>
      </c>
      <c r="AQ616" s="24">
        <v>20336656</v>
      </c>
      <c r="AR616" s="461">
        <f t="shared" ref="AR616:AR647" si="528">+AL616/AP615</f>
        <v>2.3500079854385128E-3</v>
      </c>
      <c r="AS616" s="25"/>
      <c r="AT616" s="25"/>
      <c r="AU616" s="24"/>
      <c r="AV616" s="298">
        <f t="shared" ref="AV616:AV647" si="529">+AP616/H616</f>
        <v>0.84504166546283821</v>
      </c>
      <c r="AW616" s="298"/>
      <c r="AX616" s="24">
        <f t="shared" ref="AX616:AX647" si="530">+AP616/BW616</f>
        <v>62833.489291598024</v>
      </c>
      <c r="AY616" s="308"/>
      <c r="BA616" s="65">
        <f t="shared" ref="BA616:BA647" si="531">+BC616-BC615</f>
        <v>1360984</v>
      </c>
      <c r="BB616" s="66"/>
      <c r="BC616" s="66">
        <v>725352987</v>
      </c>
      <c r="BD616" s="66"/>
      <c r="BE616" s="66">
        <f t="shared" ref="BE616:BE647" si="532">+D616</f>
        <v>97632</v>
      </c>
      <c r="BF616" s="66"/>
      <c r="BG616" s="144">
        <f t="shared" ref="BG616:BG647" si="533">+BE616/BA616</f>
        <v>7.1736331948061102E-2</v>
      </c>
      <c r="BH616" s="66"/>
      <c r="BI616" s="170"/>
      <c r="BJ616" s="66"/>
      <c r="BK616" s="66"/>
      <c r="BL616" s="66"/>
      <c r="BM616" s="144"/>
      <c r="BN616" s="65">
        <f t="shared" ref="BN616:BN647" si="534">+BC616/BW616</f>
        <v>1194980.2092257002</v>
      </c>
      <c r="BO616" s="66"/>
      <c r="BP616" s="66">
        <f t="shared" ref="BP616:BP647" si="535">+BP615+BE616</f>
        <v>44226806</v>
      </c>
      <c r="BQ616" s="66"/>
      <c r="BR616" s="435">
        <f t="shared" ref="BR616:BR647" si="536">+BP616/BC616</f>
        <v>6.0972804679440849E-2</v>
      </c>
      <c r="BS616" s="66"/>
      <c r="BT616" s="75"/>
      <c r="BU616" s="170"/>
      <c r="BV616" s="1"/>
      <c r="BW616" s="61">
        <f t="shared" si="399"/>
        <v>607</v>
      </c>
    </row>
    <row r="617" spans="2:75" x14ac:dyDescent="0.3">
      <c r="B617" s="158">
        <f t="shared" si="448"/>
        <v>44517</v>
      </c>
      <c r="C617" s="61"/>
      <c r="D617" s="17">
        <v>104702</v>
      </c>
      <c r="E617" s="16"/>
      <c r="F617" s="16"/>
      <c r="G617" s="16"/>
      <c r="H617" s="16">
        <f t="shared" si="517"/>
        <v>45238486</v>
      </c>
      <c r="I617" s="16"/>
      <c r="J617" s="436">
        <f t="shared" si="518"/>
        <v>2.3198143545863558E-3</v>
      </c>
      <c r="K617" s="16"/>
      <c r="L617" s="16"/>
      <c r="M617" s="16"/>
      <c r="N617" s="16">
        <f t="shared" si="519"/>
        <v>484737</v>
      </c>
      <c r="O617" s="16">
        <f t="shared" si="520"/>
        <v>74405.40460526316</v>
      </c>
      <c r="P617" s="41"/>
      <c r="Q617" s="17">
        <f t="shared" si="521"/>
        <v>484737</v>
      </c>
      <c r="R617" s="16"/>
      <c r="S617" s="60">
        <f t="shared" si="522"/>
        <v>9.3957626200621078E-2</v>
      </c>
      <c r="T617" s="16"/>
      <c r="U617" s="41"/>
      <c r="V617" s="10">
        <f t="shared" si="349"/>
        <v>509</v>
      </c>
      <c r="W617" s="34">
        <v>1416</v>
      </c>
      <c r="X617" s="33">
        <v>4256</v>
      </c>
      <c r="Y617" s="33"/>
      <c r="Z617" s="33">
        <f t="shared" si="523"/>
        <v>5094</v>
      </c>
      <c r="AA617" s="33">
        <f t="shared" si="524"/>
        <v>724109</v>
      </c>
      <c r="AB617" s="33"/>
      <c r="AC617" s="46">
        <f t="shared" si="525"/>
        <v>1.6006481737695644E-2</v>
      </c>
      <c r="AD617" s="33"/>
      <c r="AE617" s="33">
        <f t="shared" si="526"/>
        <v>1190.96875</v>
      </c>
      <c r="AF617" s="50"/>
      <c r="AG617" s="33"/>
      <c r="AH617" s="33"/>
      <c r="AI617" s="213"/>
      <c r="AJ617" s="50"/>
      <c r="AL617" s="23">
        <f t="shared" si="527"/>
        <v>120856</v>
      </c>
      <c r="AM617" s="24"/>
      <c r="AN617" s="24"/>
      <c r="AO617" s="24">
        <v>178263</v>
      </c>
      <c r="AP617" s="24">
        <v>38260784</v>
      </c>
      <c r="AQ617" s="24">
        <v>20336656</v>
      </c>
      <c r="AR617" s="461">
        <f t="shared" si="528"/>
        <v>3.1687527045148067E-3</v>
      </c>
      <c r="AS617" s="25"/>
      <c r="AT617" s="25"/>
      <c r="AU617" s="24"/>
      <c r="AV617" s="298">
        <f t="shared" si="529"/>
        <v>0.84575739338403144</v>
      </c>
      <c r="AW617" s="298"/>
      <c r="AX617" s="24">
        <f t="shared" si="530"/>
        <v>62928.92105263158</v>
      </c>
      <c r="AY617" s="308"/>
      <c r="BA617" s="65">
        <f t="shared" si="531"/>
        <v>1683829</v>
      </c>
      <c r="BB617" s="66"/>
      <c r="BC617" s="66">
        <v>727036816</v>
      </c>
      <c r="BD617" s="66"/>
      <c r="BE617" s="66">
        <f t="shared" si="532"/>
        <v>104702</v>
      </c>
      <c r="BF617" s="66"/>
      <c r="BG617" s="144">
        <f t="shared" si="533"/>
        <v>6.2180898416644446E-2</v>
      </c>
      <c r="BH617" s="66"/>
      <c r="BI617" s="170"/>
      <c r="BJ617" s="66"/>
      <c r="BK617" s="66"/>
      <c r="BL617" s="66"/>
      <c r="BM617" s="144"/>
      <c r="BN617" s="65">
        <f t="shared" si="534"/>
        <v>1195784.2368421052</v>
      </c>
      <c r="BO617" s="66"/>
      <c r="BP617" s="66">
        <f t="shared" si="535"/>
        <v>44331508</v>
      </c>
      <c r="BQ617" s="66"/>
      <c r="BR617" s="435">
        <f t="shared" si="536"/>
        <v>6.0975602644034468E-2</v>
      </c>
      <c r="BS617" s="66"/>
      <c r="BT617" s="75"/>
      <c r="BU617" s="170"/>
      <c r="BV617" s="1"/>
      <c r="BW617" s="61">
        <f t="shared" si="399"/>
        <v>608</v>
      </c>
    </row>
    <row r="618" spans="2:75" x14ac:dyDescent="0.3">
      <c r="B618" s="158">
        <f t="shared" si="448"/>
        <v>44518</v>
      </c>
      <c r="C618" s="61"/>
      <c r="D618" s="17">
        <v>99146</v>
      </c>
      <c r="E618" s="16"/>
      <c r="F618" s="16"/>
      <c r="G618" s="16"/>
      <c r="H618" s="16">
        <f t="shared" si="517"/>
        <v>45337632</v>
      </c>
      <c r="I618" s="16"/>
      <c r="J618" s="436">
        <f t="shared" si="518"/>
        <v>2.1916294899877948E-3</v>
      </c>
      <c r="K618" s="16"/>
      <c r="L618" s="16"/>
      <c r="M618" s="16"/>
      <c r="N618" s="16">
        <f t="shared" si="519"/>
        <v>540287</v>
      </c>
      <c r="O618" s="16">
        <f t="shared" si="520"/>
        <v>74446.029556650246</v>
      </c>
      <c r="P618" s="41"/>
      <c r="Q618" s="17">
        <f t="shared" si="521"/>
        <v>540287</v>
      </c>
      <c r="R618" s="16"/>
      <c r="S618" s="60">
        <f t="shared" si="522"/>
        <v>0.33184853586808888</v>
      </c>
      <c r="T618" s="16"/>
      <c r="U618" s="41"/>
      <c r="V618" s="10">
        <f t="shared" si="349"/>
        <v>510</v>
      </c>
      <c r="W618" s="34">
        <v>1147</v>
      </c>
      <c r="X618" s="33">
        <v>4256</v>
      </c>
      <c r="Y618" s="33"/>
      <c r="Z618" s="33">
        <f t="shared" si="523"/>
        <v>5254</v>
      </c>
      <c r="AA618" s="33">
        <f t="shared" si="524"/>
        <v>725256</v>
      </c>
      <c r="AB618" s="33"/>
      <c r="AC618" s="46">
        <f t="shared" si="525"/>
        <v>1.5996777246769307E-2</v>
      </c>
      <c r="AD618" s="33"/>
      <c r="AE618" s="33">
        <f t="shared" si="526"/>
        <v>1190.8965517241379</v>
      </c>
      <c r="AF618" s="50"/>
      <c r="AG618" s="33"/>
      <c r="AH618" s="33"/>
      <c r="AI618" s="213"/>
      <c r="AJ618" s="50"/>
      <c r="AL618" s="23">
        <f t="shared" si="527"/>
        <v>69289</v>
      </c>
      <c r="AM618" s="24"/>
      <c r="AN618" s="24"/>
      <c r="AO618" s="24">
        <v>178263</v>
      </c>
      <c r="AP618" s="24">
        <v>38330073</v>
      </c>
      <c r="AQ618" s="24">
        <v>20336656</v>
      </c>
      <c r="AR618" s="461">
        <f t="shared" si="528"/>
        <v>1.8109665499797391E-3</v>
      </c>
      <c r="AS618" s="25"/>
      <c r="AT618" s="25"/>
      <c r="AU618" s="24"/>
      <c r="AV618" s="298">
        <f t="shared" si="529"/>
        <v>0.84543614893693608</v>
      </c>
      <c r="AW618" s="298"/>
      <c r="AX618" s="24">
        <f t="shared" si="530"/>
        <v>62939.364532019703</v>
      </c>
      <c r="AY618" s="308"/>
      <c r="BA618" s="65">
        <f t="shared" si="531"/>
        <v>1787123</v>
      </c>
      <c r="BB618" s="66"/>
      <c r="BC618" s="66">
        <v>728823939</v>
      </c>
      <c r="BD618" s="66"/>
      <c r="BE618" s="66">
        <f t="shared" si="532"/>
        <v>99146</v>
      </c>
      <c r="BF618" s="66"/>
      <c r="BG618" s="144">
        <f t="shared" si="533"/>
        <v>5.5477994519683313E-2</v>
      </c>
      <c r="BH618" s="66"/>
      <c r="BI618" s="170"/>
      <c r="BJ618" s="66"/>
      <c r="BK618" s="66"/>
      <c r="BL618" s="66"/>
      <c r="BM618" s="144"/>
      <c r="BN618" s="65">
        <f t="shared" si="534"/>
        <v>1196755.2364532019</v>
      </c>
      <c r="BO618" s="66"/>
      <c r="BP618" s="66">
        <f t="shared" si="535"/>
        <v>44430654</v>
      </c>
      <c r="BQ618" s="66"/>
      <c r="BR618" s="435">
        <f t="shared" si="536"/>
        <v>6.0962122156637891E-2</v>
      </c>
      <c r="BS618" s="66"/>
      <c r="BT618" s="75"/>
      <c r="BU618" s="170"/>
      <c r="BV618" s="1"/>
      <c r="BW618" s="61">
        <f t="shared" si="399"/>
        <v>609</v>
      </c>
    </row>
    <row r="619" spans="2:75" x14ac:dyDescent="0.3">
      <c r="B619" s="158">
        <f t="shared" si="448"/>
        <v>44519</v>
      </c>
      <c r="C619" s="61"/>
      <c r="D619" s="17">
        <v>111829</v>
      </c>
      <c r="E619" s="16"/>
      <c r="F619" s="16"/>
      <c r="G619" s="16"/>
      <c r="H619" s="16">
        <f t="shared" si="517"/>
        <v>45449461</v>
      </c>
      <c r="I619" s="16"/>
      <c r="J619" s="436">
        <f t="shared" si="518"/>
        <v>2.4665822864326043E-3</v>
      </c>
      <c r="K619" s="16"/>
      <c r="L619" s="16"/>
      <c r="M619" s="16"/>
      <c r="N619" s="16">
        <f t="shared" si="519"/>
        <v>561908</v>
      </c>
      <c r="O619" s="16">
        <f t="shared" si="520"/>
        <v>74507.313114754099</v>
      </c>
      <c r="P619" s="41"/>
      <c r="Q619" s="17">
        <f t="shared" si="521"/>
        <v>561908</v>
      </c>
      <c r="R619" s="16"/>
      <c r="S619" s="60">
        <f t="shared" si="522"/>
        <v>0.36707628902096934</v>
      </c>
      <c r="T619" s="16"/>
      <c r="U619" s="41"/>
      <c r="V619" s="10">
        <f t="shared" si="349"/>
        <v>511</v>
      </c>
      <c r="W619" s="34">
        <v>1332</v>
      </c>
      <c r="X619" s="33">
        <v>4256</v>
      </c>
      <c r="Y619" s="33"/>
      <c r="Z619" s="33">
        <f t="shared" si="523"/>
        <v>6080</v>
      </c>
      <c r="AA619" s="33">
        <f t="shared" si="524"/>
        <v>726588</v>
      </c>
      <c r="AB619" s="33"/>
      <c r="AC619" s="46">
        <f t="shared" si="525"/>
        <v>1.5986724243000374E-2</v>
      </c>
      <c r="AD619" s="33"/>
      <c r="AE619" s="33">
        <f t="shared" si="526"/>
        <v>1191.127868852459</v>
      </c>
      <c r="AF619" s="50"/>
      <c r="AG619" s="33"/>
      <c r="AH619" s="33"/>
      <c r="AI619" s="213"/>
      <c r="AJ619" s="50"/>
      <c r="AL619" s="23">
        <f t="shared" si="527"/>
        <v>83736</v>
      </c>
      <c r="AM619" s="24"/>
      <c r="AN619" s="24"/>
      <c r="AO619" s="24">
        <v>178263</v>
      </c>
      <c r="AP619" s="24">
        <v>38413809</v>
      </c>
      <c r="AQ619" s="24">
        <v>20336656</v>
      </c>
      <c r="AR619" s="461">
        <f t="shared" si="528"/>
        <v>2.1846031965553521E-3</v>
      </c>
      <c r="AS619" s="25"/>
      <c r="AT619" s="25"/>
      <c r="AU619" s="24"/>
      <c r="AV619" s="298">
        <f t="shared" si="529"/>
        <v>0.84519834019593765</v>
      </c>
      <c r="AW619" s="298"/>
      <c r="AX619" s="24">
        <f t="shared" si="530"/>
        <v>62973.457377049177</v>
      </c>
      <c r="AY619" s="308"/>
      <c r="BA619" s="65">
        <f t="shared" si="531"/>
        <v>1974410</v>
      </c>
      <c r="BB619" s="66"/>
      <c r="BC619" s="66">
        <v>730798349</v>
      </c>
      <c r="BD619" s="66"/>
      <c r="BE619" s="66">
        <f t="shared" si="532"/>
        <v>111829</v>
      </c>
      <c r="BF619" s="66"/>
      <c r="BG619" s="144">
        <f t="shared" si="533"/>
        <v>5.6639198545388243E-2</v>
      </c>
      <c r="BH619" s="66"/>
      <c r="BI619" s="170"/>
      <c r="BJ619" s="66"/>
      <c r="BK619" s="66"/>
      <c r="BL619" s="66"/>
      <c r="BM619" s="144"/>
      <c r="BN619" s="65">
        <f t="shared" si="534"/>
        <v>1198030.0803278689</v>
      </c>
      <c r="BO619" s="66"/>
      <c r="BP619" s="66">
        <f t="shared" si="535"/>
        <v>44542483</v>
      </c>
      <c r="BQ619" s="66"/>
      <c r="BR619" s="435">
        <f t="shared" si="536"/>
        <v>6.0950442842338713E-2</v>
      </c>
      <c r="BS619" s="66"/>
      <c r="BT619" s="75"/>
      <c r="BU619" s="170"/>
      <c r="BV619" s="1"/>
      <c r="BW619" s="61">
        <f t="shared" si="399"/>
        <v>610</v>
      </c>
    </row>
    <row r="620" spans="2:75" x14ac:dyDescent="0.3">
      <c r="B620" s="158">
        <f t="shared" si="448"/>
        <v>44520</v>
      </c>
      <c r="C620" s="61"/>
      <c r="D620" s="17">
        <v>36633</v>
      </c>
      <c r="E620" s="16"/>
      <c r="F620" s="16"/>
      <c r="G620" s="16"/>
      <c r="H620" s="16">
        <f t="shared" si="517"/>
        <v>45486094</v>
      </c>
      <c r="I620" s="16"/>
      <c r="J620" s="436">
        <f t="shared" si="518"/>
        <v>8.0601615935555317E-4</v>
      </c>
      <c r="K620" s="16"/>
      <c r="L620" s="16"/>
      <c r="M620" s="16"/>
      <c r="N620" s="16">
        <f t="shared" si="519"/>
        <v>557434</v>
      </c>
      <c r="O620" s="16">
        <f t="shared" si="520"/>
        <v>74445.325695581021</v>
      </c>
      <c r="P620" s="41"/>
      <c r="Q620" s="17">
        <f t="shared" si="521"/>
        <v>557434</v>
      </c>
      <c r="R620" s="16"/>
      <c r="S620" s="60">
        <f t="shared" si="522"/>
        <v>0.32830859487629183</v>
      </c>
      <c r="T620" s="16"/>
      <c r="U620" s="41"/>
      <c r="V620" s="10">
        <f t="shared" si="349"/>
        <v>512</v>
      </c>
      <c r="W620" s="34">
        <v>404</v>
      </c>
      <c r="X620" s="33">
        <v>4256</v>
      </c>
      <c r="Y620" s="33"/>
      <c r="Z620" s="33">
        <f t="shared" si="523"/>
        <v>6241</v>
      </c>
      <c r="AA620" s="33">
        <f t="shared" si="524"/>
        <v>726992</v>
      </c>
      <c r="AB620" s="33"/>
      <c r="AC620" s="46">
        <f t="shared" si="525"/>
        <v>1.5982730897931136E-2</v>
      </c>
      <c r="AD620" s="33"/>
      <c r="AE620" s="33">
        <f t="shared" si="526"/>
        <v>1189.8396072013093</v>
      </c>
      <c r="AF620" s="50"/>
      <c r="AG620" s="33"/>
      <c r="AH620" s="33"/>
      <c r="AI620" s="213"/>
      <c r="AJ620" s="50"/>
      <c r="AL620" s="23">
        <f t="shared" si="527"/>
        <v>24049</v>
      </c>
      <c r="AM620" s="24"/>
      <c r="AN620" s="24"/>
      <c r="AO620" s="24">
        <v>178263</v>
      </c>
      <c r="AP620" s="24">
        <v>38437858</v>
      </c>
      <c r="AQ620" s="24">
        <v>20336656</v>
      </c>
      <c r="AR620" s="461">
        <f t="shared" si="528"/>
        <v>6.260509078909618E-4</v>
      </c>
      <c r="AS620" s="25"/>
      <c r="AT620" s="25"/>
      <c r="AU620" s="24"/>
      <c r="AV620" s="298">
        <f t="shared" si="529"/>
        <v>0.84504635636553005</v>
      </c>
      <c r="AW620" s="298"/>
      <c r="AX620" s="24">
        <f t="shared" si="530"/>
        <v>62909.751227495908</v>
      </c>
      <c r="AY620" s="308"/>
      <c r="BA620" s="65">
        <f t="shared" si="531"/>
        <v>8505093</v>
      </c>
      <c r="BB620" s="66"/>
      <c r="BC620" s="66">
        <v>739303442</v>
      </c>
      <c r="BD620" s="66"/>
      <c r="BE620" s="66">
        <f t="shared" si="532"/>
        <v>36633</v>
      </c>
      <c r="BF620" s="66"/>
      <c r="BG620" s="144">
        <f t="shared" si="533"/>
        <v>4.3071839426094462E-3</v>
      </c>
      <c r="BH620" s="66"/>
      <c r="BI620" s="170"/>
      <c r="BJ620" s="66"/>
      <c r="BK620" s="66"/>
      <c r="BL620" s="66"/>
      <c r="BM620" s="144"/>
      <c r="BN620" s="65">
        <f t="shared" si="534"/>
        <v>1209989.2667757773</v>
      </c>
      <c r="BO620" s="66"/>
      <c r="BP620" s="66">
        <f t="shared" si="535"/>
        <v>44579116</v>
      </c>
      <c r="BQ620" s="66"/>
      <c r="BR620" s="435">
        <f t="shared" si="536"/>
        <v>6.0298807590293893E-2</v>
      </c>
      <c r="BS620" s="66"/>
      <c r="BT620" s="75"/>
      <c r="BU620" s="170"/>
      <c r="BV620" s="1"/>
      <c r="BW620" s="61">
        <f t="shared" si="399"/>
        <v>611</v>
      </c>
    </row>
    <row r="621" spans="2:75" x14ac:dyDescent="0.3">
      <c r="B621" s="347">
        <f t="shared" si="448"/>
        <v>44521</v>
      </c>
      <c r="C621" s="61"/>
      <c r="D621" s="17">
        <v>37188</v>
      </c>
      <c r="E621" s="16"/>
      <c r="F621" s="16"/>
      <c r="G621" s="16"/>
      <c r="H621" s="16">
        <f t="shared" si="517"/>
        <v>45523282</v>
      </c>
      <c r="I621" s="16"/>
      <c r="J621" s="436">
        <f t="shared" si="518"/>
        <v>8.1756855183036815E-4</v>
      </c>
      <c r="K621" s="16"/>
      <c r="L621" s="16"/>
      <c r="M621" s="16"/>
      <c r="N621" s="16">
        <f t="shared" si="519"/>
        <v>557953</v>
      </c>
      <c r="O621" s="16">
        <f t="shared" si="520"/>
        <v>74384.447712418303</v>
      </c>
      <c r="P621" s="41"/>
      <c r="Q621" s="17">
        <f t="shared" si="521"/>
        <v>557953</v>
      </c>
      <c r="R621" s="16"/>
      <c r="S621" s="60">
        <f t="shared" si="522"/>
        <v>0.28809611206918445</v>
      </c>
      <c r="T621" s="16"/>
      <c r="U621" s="41"/>
      <c r="V621" s="10">
        <f t="shared" si="349"/>
        <v>513</v>
      </c>
      <c r="W621" s="34">
        <v>157</v>
      </c>
      <c r="X621" s="33">
        <v>4256</v>
      </c>
      <c r="Y621" s="33"/>
      <c r="Z621" s="33">
        <f t="shared" si="523"/>
        <v>5888</v>
      </c>
      <c r="AA621" s="33">
        <f t="shared" si="524"/>
        <v>727149</v>
      </c>
      <c r="AB621" s="33"/>
      <c r="AC621" s="46">
        <f t="shared" si="525"/>
        <v>1.5973123378933883E-2</v>
      </c>
      <c r="AD621" s="33"/>
      <c r="AE621" s="33">
        <f t="shared" si="526"/>
        <v>1188.1519607843138</v>
      </c>
      <c r="AF621" s="50"/>
      <c r="AG621" s="33"/>
      <c r="AH621" s="33"/>
      <c r="AI621" s="213"/>
      <c r="AJ621" s="50"/>
      <c r="AL621" s="23">
        <f t="shared" si="527"/>
        <v>37760</v>
      </c>
      <c r="AM621" s="24"/>
      <c r="AN621" s="24"/>
      <c r="AO621" s="24">
        <v>178263</v>
      </c>
      <c r="AP621" s="24">
        <v>38475618</v>
      </c>
      <c r="AQ621" s="24">
        <v>20336656</v>
      </c>
      <c r="AR621" s="461">
        <f t="shared" si="528"/>
        <v>9.8236483416947948E-4</v>
      </c>
      <c r="AS621" s="25"/>
      <c r="AT621" s="25"/>
      <c r="AU621" s="24"/>
      <c r="AV621" s="298">
        <f t="shared" si="529"/>
        <v>0.84518550310146789</v>
      </c>
      <c r="AW621" s="298"/>
      <c r="AX621" s="24">
        <f t="shared" si="530"/>
        <v>62868.656862745098</v>
      </c>
      <c r="AY621" s="308"/>
      <c r="BA621" s="65">
        <f t="shared" si="531"/>
        <v>917275</v>
      </c>
      <c r="BB621" s="66"/>
      <c r="BC621" s="66">
        <v>740220717</v>
      </c>
      <c r="BD621" s="66"/>
      <c r="BE621" s="66">
        <f t="shared" si="532"/>
        <v>37188</v>
      </c>
      <c r="BF621" s="66"/>
      <c r="BG621" s="144">
        <f t="shared" si="533"/>
        <v>4.0541822245237252E-2</v>
      </c>
      <c r="BH621" s="66"/>
      <c r="BI621" s="170"/>
      <c r="BJ621" s="66"/>
      <c r="BK621" s="66"/>
      <c r="BL621" s="66"/>
      <c r="BM621" s="144"/>
      <c r="BN621" s="65">
        <f t="shared" si="534"/>
        <v>1209510.9754901961</v>
      </c>
      <c r="BO621" s="66"/>
      <c r="BP621" s="66">
        <f t="shared" si="535"/>
        <v>44616304</v>
      </c>
      <c r="BQ621" s="66"/>
      <c r="BR621" s="435">
        <f t="shared" si="536"/>
        <v>6.0274324907877444E-2</v>
      </c>
      <c r="BS621" s="66"/>
      <c r="BT621" s="75"/>
      <c r="BU621" s="170"/>
      <c r="BV621" s="1"/>
      <c r="BW621" s="61">
        <f t="shared" si="399"/>
        <v>612</v>
      </c>
    </row>
    <row r="622" spans="2:75" x14ac:dyDescent="0.3">
      <c r="B622" s="158">
        <f>1+B621</f>
        <v>44522</v>
      </c>
      <c r="C622" s="61"/>
      <c r="D622" s="17">
        <v>74156</v>
      </c>
      <c r="E622" s="16"/>
      <c r="F622" s="16"/>
      <c r="G622" s="16"/>
      <c r="H622" s="16">
        <f t="shared" si="517"/>
        <v>45597438</v>
      </c>
      <c r="I622" s="16"/>
      <c r="J622" s="436">
        <f t="shared" si="518"/>
        <v>1.6289686670657884E-3</v>
      </c>
      <c r="K622" s="16"/>
      <c r="L622" s="16"/>
      <c r="M622" s="16"/>
      <c r="N622" s="16">
        <f t="shared" si="519"/>
        <v>561286</v>
      </c>
      <c r="O622" s="16">
        <f t="shared" si="520"/>
        <v>74384.075040783035</v>
      </c>
      <c r="P622" s="41"/>
      <c r="Q622" s="17">
        <f t="shared" si="521"/>
        <v>561286</v>
      </c>
      <c r="R622" s="16"/>
      <c r="S622" s="60">
        <f t="shared" si="522"/>
        <v>0.24969886693815027</v>
      </c>
      <c r="T622" s="16"/>
      <c r="U622" s="41"/>
      <c r="V622" s="10">
        <f t="shared" si="349"/>
        <v>514</v>
      </c>
      <c r="W622" s="34">
        <v>516</v>
      </c>
      <c r="X622" s="33">
        <v>4256</v>
      </c>
      <c r="Y622" s="33"/>
      <c r="Z622" s="33">
        <f t="shared" si="523"/>
        <v>4972</v>
      </c>
      <c r="AA622" s="33">
        <f t="shared" si="524"/>
        <v>727665</v>
      </c>
      <c r="AB622" s="33"/>
      <c r="AC622" s="46">
        <f t="shared" si="525"/>
        <v>1.5958462403085016E-2</v>
      </c>
      <c r="AD622" s="33"/>
      <c r="AE622" s="33">
        <f t="shared" si="526"/>
        <v>1187.0554649265905</v>
      </c>
      <c r="AF622" s="50"/>
      <c r="AG622" s="33"/>
      <c r="AH622" s="33"/>
      <c r="AI622" s="213"/>
      <c r="AJ622" s="50"/>
      <c r="AL622" s="23">
        <f t="shared" si="527"/>
        <v>158272</v>
      </c>
      <c r="AM622" s="24"/>
      <c r="AN622" s="24"/>
      <c r="AO622" s="24">
        <v>178263</v>
      </c>
      <c r="AP622" s="24">
        <v>38633890</v>
      </c>
      <c r="AQ622" s="24">
        <v>20336656</v>
      </c>
      <c r="AR622" s="461">
        <f t="shared" si="528"/>
        <v>4.1135661550647474E-3</v>
      </c>
      <c r="AS622" s="25"/>
      <c r="AT622" s="25"/>
      <c r="AU622" s="24"/>
      <c r="AV622" s="298">
        <f t="shared" si="529"/>
        <v>0.84728203369671784</v>
      </c>
      <c r="AW622" s="298"/>
      <c r="AX622" s="24">
        <f t="shared" si="530"/>
        <v>63024.290375203913</v>
      </c>
      <c r="AY622" s="308"/>
      <c r="BA622" s="65">
        <f t="shared" si="531"/>
        <v>3410833</v>
      </c>
      <c r="BB622" s="66"/>
      <c r="BC622" s="66">
        <v>743631550</v>
      </c>
      <c r="BD622" s="66"/>
      <c r="BE622" s="66">
        <f t="shared" si="532"/>
        <v>74156</v>
      </c>
      <c r="BF622" s="66"/>
      <c r="BG622" s="144">
        <f t="shared" si="533"/>
        <v>2.1741316564018232E-2</v>
      </c>
      <c r="BH622" s="66"/>
      <c r="BI622" s="170"/>
      <c r="BJ622" s="66"/>
      <c r="BK622" s="66"/>
      <c r="BL622" s="66"/>
      <c r="BM622" s="144"/>
      <c r="BN622" s="65">
        <f t="shared" si="534"/>
        <v>1213102.0391517128</v>
      </c>
      <c r="BO622" s="66"/>
      <c r="BP622" s="66">
        <f t="shared" si="535"/>
        <v>44690460</v>
      </c>
      <c r="BQ622" s="66"/>
      <c r="BR622" s="435">
        <f t="shared" si="536"/>
        <v>6.009758461700556E-2</v>
      </c>
      <c r="BS622" s="66"/>
      <c r="BT622" s="75"/>
      <c r="BU622" s="170"/>
      <c r="BV622" s="1"/>
      <c r="BW622" s="61">
        <f t="shared" si="399"/>
        <v>613</v>
      </c>
    </row>
    <row r="623" spans="2:75" x14ac:dyDescent="0.3">
      <c r="B623" s="158">
        <f t="shared" ref="B623:B699" si="537">1+B622</f>
        <v>44523</v>
      </c>
      <c r="C623" s="61"/>
      <c r="D623" s="17">
        <v>86016</v>
      </c>
      <c r="E623" s="16"/>
      <c r="F623" s="16"/>
      <c r="G623" s="16"/>
      <c r="H623" s="16">
        <f t="shared" si="517"/>
        <v>45683454</v>
      </c>
      <c r="I623" s="16"/>
      <c r="J623" s="436">
        <f t="shared" si="518"/>
        <v>1.8864217765919217E-3</v>
      </c>
      <c r="K623" s="16"/>
      <c r="L623" s="16"/>
      <c r="M623" s="16"/>
      <c r="N623" s="16">
        <f t="shared" si="519"/>
        <v>549670</v>
      </c>
      <c r="O623" s="16">
        <f t="shared" si="520"/>
        <v>74403.019543973947</v>
      </c>
      <c r="P623" s="41"/>
      <c r="Q623" s="17">
        <f t="shared" si="521"/>
        <v>549670</v>
      </c>
      <c r="R623" s="16"/>
      <c r="S623" s="60">
        <f t="shared" si="522"/>
        <v>0.15863670951980455</v>
      </c>
      <c r="T623" s="16"/>
      <c r="U623" s="41"/>
      <c r="V623" s="10">
        <f t="shared" si="349"/>
        <v>515</v>
      </c>
      <c r="W623" s="34">
        <v>1237</v>
      </c>
      <c r="X623" s="33">
        <v>4256</v>
      </c>
      <c r="Y623" s="33"/>
      <c r="Z623" s="33">
        <f t="shared" si="523"/>
        <v>4793</v>
      </c>
      <c r="AA623" s="33">
        <f t="shared" si="524"/>
        <v>728902</v>
      </c>
      <c r="AB623" s="33"/>
      <c r="AC623" s="46">
        <f t="shared" si="525"/>
        <v>1.5955492332081544E-2</v>
      </c>
      <c r="AD623" s="33"/>
      <c r="AE623" s="33">
        <f t="shared" si="526"/>
        <v>1187.1368078175897</v>
      </c>
      <c r="AF623" s="50"/>
      <c r="AG623" s="33"/>
      <c r="AH623" s="33"/>
      <c r="AI623" s="213"/>
      <c r="AJ623" s="50"/>
      <c r="AL623" s="23">
        <f t="shared" si="527"/>
        <v>75814</v>
      </c>
      <c r="AM623" s="24"/>
      <c r="AN623" s="24"/>
      <c r="AO623" s="24">
        <v>178263</v>
      </c>
      <c r="AP623" s="24">
        <v>38709704</v>
      </c>
      <c r="AQ623" s="24">
        <v>20336656</v>
      </c>
      <c r="AR623" s="461">
        <f t="shared" si="528"/>
        <v>1.9623703437577733E-3</v>
      </c>
      <c r="AS623" s="25"/>
      <c r="AT623" s="25"/>
      <c r="AU623" s="24"/>
      <c r="AV623" s="298">
        <f t="shared" si="529"/>
        <v>0.84734626239075528</v>
      </c>
      <c r="AW623" s="298"/>
      <c r="AX623" s="24">
        <f t="shared" si="530"/>
        <v>63045.120521172641</v>
      </c>
      <c r="AY623" s="308"/>
      <c r="BA623" s="65">
        <f t="shared" si="531"/>
        <v>1044201</v>
      </c>
      <c r="BB623" s="66"/>
      <c r="BC623" s="66">
        <v>744675751</v>
      </c>
      <c r="BD623" s="66"/>
      <c r="BE623" s="66">
        <f t="shared" si="532"/>
        <v>86016</v>
      </c>
      <c r="BF623" s="66"/>
      <c r="BG623" s="144">
        <f t="shared" si="533"/>
        <v>8.2374945053682189E-2</v>
      </c>
      <c r="BH623" s="66"/>
      <c r="BI623" s="170"/>
      <c r="BJ623" s="66"/>
      <c r="BK623" s="66"/>
      <c r="BL623" s="66"/>
      <c r="BM623" s="144"/>
      <c r="BN623" s="65">
        <f t="shared" si="534"/>
        <v>1212826.9560260586</v>
      </c>
      <c r="BO623" s="66"/>
      <c r="BP623" s="66">
        <f t="shared" si="535"/>
        <v>44776476</v>
      </c>
      <c r="BQ623" s="66"/>
      <c r="BR623" s="435">
        <f t="shared" si="536"/>
        <v>6.0128822430260659E-2</v>
      </c>
      <c r="BS623" s="66"/>
      <c r="BT623" s="75"/>
      <c r="BU623" s="170"/>
      <c r="BV623" s="1"/>
      <c r="BW623" s="61">
        <f t="shared" si="399"/>
        <v>614</v>
      </c>
    </row>
    <row r="624" spans="2:75" x14ac:dyDescent="0.3">
      <c r="B624" s="158">
        <f t="shared" si="537"/>
        <v>44524</v>
      </c>
      <c r="C624" s="61"/>
      <c r="D624" s="17">
        <v>104819</v>
      </c>
      <c r="E624" s="16"/>
      <c r="F624" s="16"/>
      <c r="G624" s="16"/>
      <c r="H624" s="16">
        <f t="shared" si="517"/>
        <v>45788273</v>
      </c>
      <c r="I624" s="16"/>
      <c r="J624" s="436">
        <f t="shared" si="518"/>
        <v>2.2944631113050252E-3</v>
      </c>
      <c r="K624" s="16"/>
      <c r="L624" s="16"/>
      <c r="M624" s="16"/>
      <c r="N624" s="16">
        <f t="shared" si="519"/>
        <v>549787</v>
      </c>
      <c r="O624" s="16">
        <f t="shared" si="520"/>
        <v>74452.47642276423</v>
      </c>
      <c r="P624" s="41"/>
      <c r="Q624" s="17">
        <f t="shared" si="521"/>
        <v>549787</v>
      </c>
      <c r="R624" s="16"/>
      <c r="S624" s="60">
        <f t="shared" si="522"/>
        <v>0.13419648180353469</v>
      </c>
      <c r="T624" s="16"/>
      <c r="U624" s="41"/>
      <c r="V624" s="10">
        <f t="shared" si="349"/>
        <v>516</v>
      </c>
      <c r="W624" s="34">
        <v>1594</v>
      </c>
      <c r="X624" s="33">
        <v>4256</v>
      </c>
      <c r="Y624" s="33"/>
      <c r="Z624" s="33">
        <f t="shared" si="523"/>
        <v>5240</v>
      </c>
      <c r="AA624" s="33">
        <f t="shared" si="524"/>
        <v>730496</v>
      </c>
      <c r="AB624" s="33"/>
      <c r="AC624" s="46">
        <f t="shared" si="525"/>
        <v>1.5953779256972632E-2</v>
      </c>
      <c r="AD624" s="33"/>
      <c r="AE624" s="33">
        <f t="shared" si="526"/>
        <v>1187.7983739837398</v>
      </c>
      <c r="AF624" s="50"/>
      <c r="AG624" s="33"/>
      <c r="AH624" s="33"/>
      <c r="AI624" s="213"/>
      <c r="AJ624" s="50"/>
      <c r="AL624" s="23">
        <f t="shared" si="527"/>
        <v>77990</v>
      </c>
      <c r="AM624" s="24"/>
      <c r="AN624" s="24"/>
      <c r="AO624" s="24">
        <v>178263</v>
      </c>
      <c r="AP624" s="24">
        <v>38787694</v>
      </c>
      <c r="AQ624" s="24">
        <v>20336656</v>
      </c>
      <c r="AR624" s="461">
        <f t="shared" si="528"/>
        <v>2.0147402832116721E-3</v>
      </c>
      <c r="AS624" s="25"/>
      <c r="AT624" s="25"/>
      <c r="AU624" s="24"/>
      <c r="AV624" s="298">
        <f t="shared" si="529"/>
        <v>0.84710978289135297</v>
      </c>
      <c r="AW624" s="298"/>
      <c r="AX624" s="24">
        <f t="shared" si="530"/>
        <v>63069.421138211379</v>
      </c>
      <c r="AY624" s="308"/>
      <c r="BA624" s="65">
        <f t="shared" si="531"/>
        <v>1781250</v>
      </c>
      <c r="BB624" s="66"/>
      <c r="BC624" s="66">
        <v>746457001</v>
      </c>
      <c r="BD624" s="66"/>
      <c r="BE624" s="66">
        <f t="shared" si="532"/>
        <v>104819</v>
      </c>
      <c r="BF624" s="66"/>
      <c r="BG624" s="144">
        <f t="shared" si="533"/>
        <v>5.8845754385964913E-2</v>
      </c>
      <c r="BH624" s="66"/>
      <c r="BI624" s="170"/>
      <c r="BJ624" s="66"/>
      <c r="BK624" s="66"/>
      <c r="BL624" s="66"/>
      <c r="BM624" s="144"/>
      <c r="BN624" s="65">
        <f t="shared" si="534"/>
        <v>1213751.2211382114</v>
      </c>
      <c r="BO624" s="66"/>
      <c r="BP624" s="66">
        <f t="shared" si="535"/>
        <v>44881295</v>
      </c>
      <c r="BQ624" s="66"/>
      <c r="BR624" s="435">
        <f t="shared" si="536"/>
        <v>6.0125760679951075E-2</v>
      </c>
      <c r="BS624" s="66"/>
      <c r="BT624" s="75"/>
      <c r="BU624" s="170"/>
      <c r="BV624" s="1"/>
      <c r="BW624" s="61">
        <f t="shared" si="399"/>
        <v>615</v>
      </c>
    </row>
    <row r="625" spans="2:75" x14ac:dyDescent="0.3">
      <c r="B625" s="158">
        <f t="shared" si="537"/>
        <v>44525</v>
      </c>
      <c r="C625" s="61"/>
      <c r="D625" s="17">
        <v>40309</v>
      </c>
      <c r="E625" s="16"/>
      <c r="F625" s="16"/>
      <c r="G625" s="16"/>
      <c r="H625" s="16">
        <f t="shared" si="517"/>
        <v>45828582</v>
      </c>
      <c r="I625" s="16"/>
      <c r="J625" s="436">
        <f t="shared" si="518"/>
        <v>8.8033457824452125E-4</v>
      </c>
      <c r="K625" s="16"/>
      <c r="L625" s="16"/>
      <c r="M625" s="16"/>
      <c r="N625" s="16">
        <f t="shared" si="519"/>
        <v>490950</v>
      </c>
      <c r="O625" s="16">
        <f t="shared" si="520"/>
        <v>74397.0487012987</v>
      </c>
      <c r="P625" s="41"/>
      <c r="Q625" s="17">
        <f t="shared" si="521"/>
        <v>490950</v>
      </c>
      <c r="R625" s="16"/>
      <c r="S625" s="60">
        <f t="shared" si="522"/>
        <v>-9.1316281902026147E-2</v>
      </c>
      <c r="T625" s="16"/>
      <c r="U625" s="41"/>
      <c r="V625" s="10">
        <f t="shared" si="349"/>
        <v>517</v>
      </c>
      <c r="W625" s="34">
        <v>449</v>
      </c>
      <c r="X625" s="33">
        <v>4256</v>
      </c>
      <c r="Y625" s="33"/>
      <c r="Z625" s="33">
        <f t="shared" si="523"/>
        <v>4357</v>
      </c>
      <c r="AA625" s="33">
        <f t="shared" si="524"/>
        <v>730945</v>
      </c>
      <c r="AB625" s="33"/>
      <c r="AC625" s="46">
        <f t="shared" si="525"/>
        <v>1.5949544325853243E-2</v>
      </c>
      <c r="AD625" s="33"/>
      <c r="AE625" s="33">
        <f t="shared" si="526"/>
        <v>1186.5990259740261</v>
      </c>
      <c r="AF625" s="50"/>
      <c r="AG625" s="33"/>
      <c r="AH625" s="33"/>
      <c r="AI625" s="213"/>
      <c r="AJ625" s="50"/>
      <c r="AL625" s="23">
        <f t="shared" si="527"/>
        <v>24505</v>
      </c>
      <c r="AM625" s="24"/>
      <c r="AN625" s="24"/>
      <c r="AO625" s="24">
        <v>178263</v>
      </c>
      <c r="AP625" s="24">
        <v>38812199</v>
      </c>
      <c r="AQ625" s="24">
        <v>20336656</v>
      </c>
      <c r="AR625" s="461">
        <f t="shared" si="528"/>
        <v>6.3177254105387136E-4</v>
      </c>
      <c r="AS625" s="25"/>
      <c r="AT625" s="25"/>
      <c r="AU625" s="24"/>
      <c r="AV625" s="298">
        <f t="shared" si="529"/>
        <v>0.84689940875761771</v>
      </c>
      <c r="AW625" s="298"/>
      <c r="AX625" s="24">
        <f t="shared" si="530"/>
        <v>63006.816558441562</v>
      </c>
      <c r="AY625" s="308"/>
      <c r="BA625" s="65">
        <f t="shared" si="531"/>
        <v>921797</v>
      </c>
      <c r="BB625" s="66"/>
      <c r="BC625" s="66">
        <v>747378798</v>
      </c>
      <c r="BD625" s="66"/>
      <c r="BE625" s="66">
        <f t="shared" si="532"/>
        <v>40309</v>
      </c>
      <c r="BF625" s="66"/>
      <c r="BG625" s="144">
        <f t="shared" si="533"/>
        <v>4.3728716843296302E-2</v>
      </c>
      <c r="BH625" s="66"/>
      <c r="BI625" s="170"/>
      <c r="BJ625" s="66"/>
      <c r="BK625" s="66"/>
      <c r="BL625" s="66"/>
      <c r="BM625" s="144"/>
      <c r="BN625" s="65">
        <f t="shared" si="534"/>
        <v>1213277.2694805195</v>
      </c>
      <c r="BO625" s="66"/>
      <c r="BP625" s="66">
        <f t="shared" si="535"/>
        <v>44921604</v>
      </c>
      <c r="BQ625" s="66"/>
      <c r="BR625" s="435">
        <f t="shared" si="536"/>
        <v>6.0105537005078383E-2</v>
      </c>
      <c r="BS625" s="66"/>
      <c r="BT625" s="75"/>
      <c r="BU625" s="170"/>
      <c r="BV625" s="1"/>
      <c r="BW625" s="61">
        <f t="shared" si="399"/>
        <v>616</v>
      </c>
    </row>
    <row r="626" spans="2:75" x14ac:dyDescent="0.3">
      <c r="B626" s="158">
        <f t="shared" si="537"/>
        <v>44526</v>
      </c>
      <c r="C626" s="61"/>
      <c r="D626" s="17">
        <v>37686</v>
      </c>
      <c r="E626" s="16"/>
      <c r="F626" s="16"/>
      <c r="G626" s="16"/>
      <c r="H626" s="16">
        <f t="shared" si="517"/>
        <v>45866268</v>
      </c>
      <c r="I626" s="16"/>
      <c r="J626" s="436">
        <f t="shared" si="518"/>
        <v>8.2232524672048546E-4</v>
      </c>
      <c r="K626" s="16"/>
      <c r="L626" s="16"/>
      <c r="M626" s="16"/>
      <c r="N626" s="16">
        <f t="shared" si="519"/>
        <v>416807</v>
      </c>
      <c r="O626" s="16">
        <f t="shared" si="520"/>
        <v>74337.549432739062</v>
      </c>
      <c r="P626" s="41"/>
      <c r="Q626" s="17">
        <f t="shared" si="521"/>
        <v>416807</v>
      </c>
      <c r="R626" s="16"/>
      <c r="S626" s="60">
        <f t="shared" si="522"/>
        <v>-0.2582291051204112</v>
      </c>
      <c r="T626" s="16"/>
      <c r="U626" s="41"/>
      <c r="V626" s="10">
        <f t="shared" si="349"/>
        <v>518</v>
      </c>
      <c r="W626" s="34">
        <v>337</v>
      </c>
      <c r="X626" s="33">
        <v>4256</v>
      </c>
      <c r="Y626" s="33"/>
      <c r="Z626" s="33">
        <f t="shared" si="523"/>
        <v>4290</v>
      </c>
      <c r="AA626" s="33">
        <f t="shared" si="524"/>
        <v>731282</v>
      </c>
      <c r="AB626" s="33"/>
      <c r="AC626" s="46">
        <f t="shared" si="525"/>
        <v>1.5943786836984428E-2</v>
      </c>
      <c r="AD626" s="33"/>
      <c r="AE626" s="33">
        <f t="shared" si="526"/>
        <v>1185.222042139384</v>
      </c>
      <c r="AF626" s="50"/>
      <c r="AG626" s="33"/>
      <c r="AH626" s="33"/>
      <c r="AI626" s="213"/>
      <c r="AJ626" s="50"/>
      <c r="AL626" s="23">
        <f t="shared" si="527"/>
        <v>28484</v>
      </c>
      <c r="AM626" s="24"/>
      <c r="AN626" s="24"/>
      <c r="AO626" s="24">
        <v>178263</v>
      </c>
      <c r="AP626" s="24">
        <v>38840683</v>
      </c>
      <c r="AQ626" s="24">
        <v>20336656</v>
      </c>
      <c r="AR626" s="461">
        <f t="shared" si="528"/>
        <v>7.3389297009427367E-4</v>
      </c>
      <c r="AS626" s="25"/>
      <c r="AT626" s="25"/>
      <c r="AU626" s="24"/>
      <c r="AV626" s="298">
        <f t="shared" si="529"/>
        <v>0.84682457705082959</v>
      </c>
      <c r="AW626" s="298"/>
      <c r="AX626" s="24">
        <f t="shared" si="530"/>
        <v>62950.863857374396</v>
      </c>
      <c r="AY626" s="308"/>
      <c r="BA626" s="65">
        <f t="shared" si="531"/>
        <v>687800</v>
      </c>
      <c r="BB626" s="66"/>
      <c r="BC626" s="66">
        <v>748066598</v>
      </c>
      <c r="BD626" s="66"/>
      <c r="BE626" s="66">
        <f t="shared" si="532"/>
        <v>37686</v>
      </c>
      <c r="BF626" s="66"/>
      <c r="BG626" s="144">
        <f t="shared" si="533"/>
        <v>5.4792090724047691E-2</v>
      </c>
      <c r="BH626" s="66"/>
      <c r="BI626" s="170"/>
      <c r="BJ626" s="66"/>
      <c r="BK626" s="66"/>
      <c r="BL626" s="66"/>
      <c r="BM626" s="144"/>
      <c r="BN626" s="65">
        <f t="shared" si="534"/>
        <v>1212425.6045380875</v>
      </c>
      <c r="BO626" s="66"/>
      <c r="BP626" s="66">
        <f t="shared" si="535"/>
        <v>44959290</v>
      </c>
      <c r="BQ626" s="66"/>
      <c r="BR626" s="435">
        <f t="shared" si="536"/>
        <v>6.0100651626741927E-2</v>
      </c>
      <c r="BS626" s="66"/>
      <c r="BT626" s="75"/>
      <c r="BU626" s="170"/>
      <c r="BV626" s="1"/>
      <c r="BW626" s="61">
        <f t="shared" si="399"/>
        <v>617</v>
      </c>
    </row>
    <row r="627" spans="2:75" x14ac:dyDescent="0.3">
      <c r="B627" s="158">
        <f t="shared" si="537"/>
        <v>44527</v>
      </c>
      <c r="C627" s="61"/>
      <c r="D627" s="17">
        <v>22612</v>
      </c>
      <c r="E627" s="16"/>
      <c r="F627" s="16"/>
      <c r="G627" s="16"/>
      <c r="H627" s="16">
        <f t="shared" si="517"/>
        <v>45888880</v>
      </c>
      <c r="I627" s="16"/>
      <c r="J627" s="436">
        <f t="shared" si="518"/>
        <v>4.9299847112043208E-4</v>
      </c>
      <c r="K627" s="16"/>
      <c r="L627" s="16"/>
      <c r="M627" s="16"/>
      <c r="N627" s="16">
        <f t="shared" si="519"/>
        <v>402786</v>
      </c>
      <c r="O627" s="16">
        <f t="shared" si="520"/>
        <v>74253.85113268609</v>
      </c>
      <c r="P627" s="41"/>
      <c r="Q627" s="17">
        <f t="shared" si="521"/>
        <v>402786</v>
      </c>
      <c r="R627" s="16"/>
      <c r="S627" s="60">
        <f t="shared" si="522"/>
        <v>-0.27742835923176556</v>
      </c>
      <c r="T627" s="16"/>
      <c r="U627" s="41"/>
      <c r="V627" s="10">
        <f t="shared" si="349"/>
        <v>519</v>
      </c>
      <c r="W627" s="34">
        <v>127</v>
      </c>
      <c r="X627" s="33">
        <v>4256</v>
      </c>
      <c r="Y627" s="33"/>
      <c r="Z627" s="33">
        <f t="shared" si="523"/>
        <v>4260</v>
      </c>
      <c r="AA627" s="33">
        <f t="shared" si="524"/>
        <v>731409</v>
      </c>
      <c r="AB627" s="33"/>
      <c r="AC627" s="46">
        <f t="shared" si="525"/>
        <v>1.5938698002653365E-2</v>
      </c>
      <c r="AD627" s="33"/>
      <c r="AE627" s="33">
        <f t="shared" si="526"/>
        <v>1183.509708737864</v>
      </c>
      <c r="AF627" s="50"/>
      <c r="AG627" s="33"/>
      <c r="AH627" s="33"/>
      <c r="AI627" s="213"/>
      <c r="AJ627" s="50"/>
      <c r="AL627" s="23">
        <f t="shared" si="527"/>
        <v>21031</v>
      </c>
      <c r="AM627" s="24"/>
      <c r="AN627" s="24"/>
      <c r="AO627" s="24">
        <v>178263</v>
      </c>
      <c r="AP627" s="24">
        <v>38861714</v>
      </c>
      <c r="AQ627" s="24">
        <v>20336656</v>
      </c>
      <c r="AR627" s="461">
        <f t="shared" si="528"/>
        <v>5.4146833617730152E-4</v>
      </c>
      <c r="AS627" s="25"/>
      <c r="AT627" s="25"/>
      <c r="AU627" s="24"/>
      <c r="AV627" s="298">
        <f t="shared" si="529"/>
        <v>0.84686560229842178</v>
      </c>
      <c r="AW627" s="298"/>
      <c r="AX627" s="24">
        <f t="shared" si="530"/>
        <v>62883.032362459548</v>
      </c>
      <c r="AY627" s="308"/>
      <c r="BA627" s="65">
        <f t="shared" si="531"/>
        <v>241281</v>
      </c>
      <c r="BB627" s="66"/>
      <c r="BC627" s="66">
        <v>748307879</v>
      </c>
      <c r="BD627" s="66"/>
      <c r="BE627" s="66">
        <f t="shared" si="532"/>
        <v>22612</v>
      </c>
      <c r="BF627" s="66"/>
      <c r="BG627" s="144">
        <f t="shared" si="533"/>
        <v>9.3716455087636402E-2</v>
      </c>
      <c r="BH627" s="66"/>
      <c r="BI627" s="170"/>
      <c r="BJ627" s="66"/>
      <c r="BK627" s="66"/>
      <c r="BL627" s="66"/>
      <c r="BM627" s="144"/>
      <c r="BN627" s="65">
        <f t="shared" si="534"/>
        <v>1210854.1731391586</v>
      </c>
      <c r="BO627" s="66"/>
      <c r="BP627" s="66">
        <f t="shared" si="535"/>
        <v>44981902</v>
      </c>
      <c r="BQ627" s="66"/>
      <c r="BR627" s="435">
        <f t="shared" si="536"/>
        <v>6.011149055401032E-2</v>
      </c>
      <c r="BS627" s="66"/>
      <c r="BT627" s="75"/>
      <c r="BU627" s="170"/>
      <c r="BV627" s="1"/>
      <c r="BW627" s="61">
        <f t="shared" si="399"/>
        <v>618</v>
      </c>
    </row>
    <row r="628" spans="2:75" x14ac:dyDescent="0.3">
      <c r="B628" s="347">
        <f t="shared" si="537"/>
        <v>44528</v>
      </c>
      <c r="C628" s="61"/>
      <c r="D628" s="17">
        <v>20835</v>
      </c>
      <c r="E628" s="16"/>
      <c r="F628" s="16"/>
      <c r="G628" s="16"/>
      <c r="H628" s="16">
        <f t="shared" si="517"/>
        <v>45909715</v>
      </c>
      <c r="I628" s="16"/>
      <c r="J628" s="436">
        <f t="shared" si="518"/>
        <v>4.5403156494558161E-4</v>
      </c>
      <c r="K628" s="16"/>
      <c r="L628" s="16"/>
      <c r="M628" s="16"/>
      <c r="N628" s="16">
        <f t="shared" si="519"/>
        <v>386433</v>
      </c>
      <c r="O628" s="16">
        <f t="shared" si="520"/>
        <v>74167.552504038773</v>
      </c>
      <c r="P628" s="41"/>
      <c r="Q628" s="17">
        <f t="shared" si="521"/>
        <v>386433</v>
      </c>
      <c r="R628" s="16"/>
      <c r="S628" s="60">
        <f t="shared" si="522"/>
        <v>-0.30740940545171369</v>
      </c>
      <c r="T628" s="16"/>
      <c r="U628" s="41"/>
      <c r="V628" s="10">
        <f t="shared" si="349"/>
        <v>520</v>
      </c>
      <c r="W628" s="34">
        <v>102</v>
      </c>
      <c r="X628" s="33">
        <v>4256</v>
      </c>
      <c r="Y628" s="33"/>
      <c r="Z628" s="33">
        <f t="shared" si="523"/>
        <v>3846</v>
      </c>
      <c r="AA628" s="33">
        <f t="shared" si="524"/>
        <v>731511</v>
      </c>
      <c r="AB628" s="33"/>
      <c r="AC628" s="46">
        <f t="shared" si="525"/>
        <v>1.5933686366818002E-2</v>
      </c>
      <c r="AD628" s="33"/>
      <c r="AE628" s="33">
        <f t="shared" si="526"/>
        <v>1181.7625201938611</v>
      </c>
      <c r="AF628" s="50"/>
      <c r="AG628" s="33"/>
      <c r="AH628" s="33"/>
      <c r="AI628" s="213"/>
      <c r="AJ628" s="50"/>
      <c r="AL628" s="23">
        <f t="shared" si="527"/>
        <v>18367</v>
      </c>
      <c r="AM628" s="24"/>
      <c r="AN628" s="24"/>
      <c r="AO628" s="24">
        <v>178263</v>
      </c>
      <c r="AP628" s="24">
        <v>38880081</v>
      </c>
      <c r="AQ628" s="24">
        <v>20336656</v>
      </c>
      <c r="AR628" s="461">
        <f t="shared" si="528"/>
        <v>4.7262454764604569E-4</v>
      </c>
      <c r="AS628" s="25"/>
      <c r="AT628" s="25"/>
      <c r="AU628" s="24"/>
      <c r="AV628" s="298">
        <f t="shared" si="529"/>
        <v>0.84688134091008838</v>
      </c>
      <c r="AW628" s="298"/>
      <c r="AX628" s="24">
        <f t="shared" si="530"/>
        <v>62811.116316639738</v>
      </c>
      <c r="AY628" s="308"/>
      <c r="BA628" s="65">
        <f t="shared" si="531"/>
        <v>216720</v>
      </c>
      <c r="BB628" s="66"/>
      <c r="BC628" s="66">
        <v>748524599</v>
      </c>
      <c r="BD628" s="66"/>
      <c r="BE628" s="66">
        <f t="shared" si="532"/>
        <v>20835</v>
      </c>
      <c r="BF628" s="66"/>
      <c r="BG628" s="144">
        <f t="shared" si="533"/>
        <v>9.6137873754152822E-2</v>
      </c>
      <c r="BH628" s="66"/>
      <c r="BI628" s="170"/>
      <c r="BJ628" s="66"/>
      <c r="BK628" s="66"/>
      <c r="BL628" s="66"/>
      <c r="BM628" s="144"/>
      <c r="BN628" s="65">
        <f t="shared" si="534"/>
        <v>1209248.140549273</v>
      </c>
      <c r="BO628" s="66"/>
      <c r="BP628" s="66">
        <f t="shared" si="535"/>
        <v>45002737</v>
      </c>
      <c r="BQ628" s="66"/>
      <c r="BR628" s="435">
        <f t="shared" si="536"/>
        <v>6.0121921256992651E-2</v>
      </c>
      <c r="BS628" s="66"/>
      <c r="BT628" s="75"/>
      <c r="BU628" s="170"/>
      <c r="BV628" s="1"/>
      <c r="BW628" s="61">
        <f t="shared" si="399"/>
        <v>619</v>
      </c>
    </row>
    <row r="629" spans="2:75" x14ac:dyDescent="0.3">
      <c r="B629" s="158">
        <f t="shared" si="537"/>
        <v>44529</v>
      </c>
      <c r="C629" s="61"/>
      <c r="D629" s="17">
        <v>106876</v>
      </c>
      <c r="E629" s="16"/>
      <c r="F629" s="16"/>
      <c r="G629" s="16"/>
      <c r="H629" s="16">
        <f t="shared" si="517"/>
        <v>46016591</v>
      </c>
      <c r="I629" s="16"/>
      <c r="J629" s="436">
        <f t="shared" si="518"/>
        <v>2.3279604327755029E-3</v>
      </c>
      <c r="K629" s="16"/>
      <c r="L629" s="16"/>
      <c r="M629" s="16"/>
      <c r="N629" s="16">
        <f t="shared" si="519"/>
        <v>419153</v>
      </c>
      <c r="O629" s="16">
        <f t="shared" si="520"/>
        <v>74220.308064516124</v>
      </c>
      <c r="P629" s="41"/>
      <c r="Q629" s="17">
        <f t="shared" si="521"/>
        <v>419153</v>
      </c>
      <c r="R629" s="16"/>
      <c r="S629" s="60">
        <f t="shared" si="522"/>
        <v>-0.25322740991223724</v>
      </c>
      <c r="T629" s="16"/>
      <c r="U629" s="41"/>
      <c r="V629" s="10">
        <f t="shared" si="349"/>
        <v>521</v>
      </c>
      <c r="W629" s="34">
        <v>1438</v>
      </c>
      <c r="X629" s="33">
        <v>4256</v>
      </c>
      <c r="Y629" s="33"/>
      <c r="Z629" s="33">
        <f t="shared" si="523"/>
        <v>4047</v>
      </c>
      <c r="AA629" s="33">
        <f t="shared" si="524"/>
        <v>732949</v>
      </c>
      <c r="AB629" s="33"/>
      <c r="AC629" s="46">
        <f t="shared" si="525"/>
        <v>1.5927929124519458E-2</v>
      </c>
      <c r="AD629" s="33"/>
      <c r="AE629" s="33">
        <f t="shared" si="526"/>
        <v>1182.175806451613</v>
      </c>
      <c r="AF629" s="50"/>
      <c r="AG629" s="33"/>
      <c r="AH629" s="33"/>
      <c r="AI629" s="213"/>
      <c r="AJ629" s="50"/>
      <c r="AL629" s="23">
        <f t="shared" si="527"/>
        <v>225821</v>
      </c>
      <c r="AM629" s="24"/>
      <c r="AN629" s="24"/>
      <c r="AO629" s="24">
        <v>178263</v>
      </c>
      <c r="AP629" s="24">
        <v>39105902</v>
      </c>
      <c r="AQ629" s="24">
        <v>20336656</v>
      </c>
      <c r="AR629" s="461">
        <f t="shared" si="528"/>
        <v>5.8081411918869206E-3</v>
      </c>
      <c r="AS629" s="25"/>
      <c r="AT629" s="25"/>
      <c r="AU629" s="24"/>
      <c r="AV629" s="298">
        <f t="shared" si="529"/>
        <v>0.84982179579534689</v>
      </c>
      <c r="AW629" s="298"/>
      <c r="AX629" s="24">
        <f t="shared" si="530"/>
        <v>63074.035483870968</v>
      </c>
      <c r="AY629" s="308"/>
      <c r="BA629" s="65">
        <f t="shared" si="531"/>
        <v>5468770</v>
      </c>
      <c r="BB629" s="66"/>
      <c r="BC629" s="66">
        <v>753993369</v>
      </c>
      <c r="BD629" s="66"/>
      <c r="BE629" s="66">
        <f t="shared" si="532"/>
        <v>106876</v>
      </c>
      <c r="BF629" s="66"/>
      <c r="BG629" s="144">
        <f t="shared" si="533"/>
        <v>1.9542968528572239E-2</v>
      </c>
      <c r="BH629" s="66"/>
      <c r="BI629" s="170"/>
      <c r="BJ629" s="66"/>
      <c r="BK629" s="66"/>
      <c r="BL629" s="66"/>
      <c r="BM629" s="144"/>
      <c r="BN629" s="65">
        <f t="shared" si="534"/>
        <v>1216118.3370967743</v>
      </c>
      <c r="BO629" s="66"/>
      <c r="BP629" s="66">
        <f t="shared" si="535"/>
        <v>45109613</v>
      </c>
      <c r="BQ629" s="66"/>
      <c r="BR629" s="435">
        <f t="shared" si="536"/>
        <v>5.9827599093911922E-2</v>
      </c>
      <c r="BS629" s="66"/>
      <c r="BT629" s="75"/>
      <c r="BU629" s="170"/>
      <c r="BV629" s="1"/>
      <c r="BW629" s="61">
        <f t="shared" si="399"/>
        <v>620</v>
      </c>
    </row>
    <row r="630" spans="2:75" x14ac:dyDescent="0.3">
      <c r="B630" s="158">
        <f t="shared" si="537"/>
        <v>44530</v>
      </c>
      <c r="C630" s="61"/>
      <c r="D630" s="17">
        <v>120458</v>
      </c>
      <c r="E630" s="16"/>
      <c r="F630" s="16"/>
      <c r="G630" s="16"/>
      <c r="H630" s="16">
        <f t="shared" si="517"/>
        <v>46137049</v>
      </c>
      <c r="I630" s="16"/>
      <c r="J630" s="436">
        <f t="shared" si="518"/>
        <v>2.6177080349128862E-3</v>
      </c>
      <c r="K630" s="16"/>
      <c r="L630" s="16"/>
      <c r="M630" s="16"/>
      <c r="N630" s="16">
        <f t="shared" si="519"/>
        <v>453595</v>
      </c>
      <c r="O630" s="16">
        <f t="shared" si="520"/>
        <v>74294.76489533011</v>
      </c>
      <c r="P630" s="41"/>
      <c r="Q630" s="17">
        <f t="shared" si="521"/>
        <v>453595</v>
      </c>
      <c r="R630" s="16"/>
      <c r="S630" s="60">
        <f t="shared" si="522"/>
        <v>-0.17478669019593573</v>
      </c>
      <c r="T630" s="16"/>
      <c r="U630" s="41"/>
      <c r="V630" s="10">
        <f t="shared" si="349"/>
        <v>522</v>
      </c>
      <c r="W630" s="34">
        <v>1650</v>
      </c>
      <c r="X630" s="33">
        <v>4256</v>
      </c>
      <c r="Y630" s="33"/>
      <c r="Z630" s="33">
        <f t="shared" si="523"/>
        <v>4103</v>
      </c>
      <c r="AA630" s="33">
        <f t="shared" si="524"/>
        <v>734599</v>
      </c>
      <c r="AB630" s="33"/>
      <c r="AC630" s="46">
        <f t="shared" si="525"/>
        <v>1.5922106331508111E-2</v>
      </c>
      <c r="AD630" s="33"/>
      <c r="AE630" s="33">
        <f t="shared" si="526"/>
        <v>1182.9291465378421</v>
      </c>
      <c r="AF630" s="50"/>
      <c r="AG630" s="33"/>
      <c r="AH630" s="33"/>
      <c r="AI630" s="213"/>
      <c r="AJ630" s="50"/>
      <c r="AL630" s="23">
        <f t="shared" si="527"/>
        <v>100018</v>
      </c>
      <c r="AM630" s="24"/>
      <c r="AN630" s="24"/>
      <c r="AO630" s="24">
        <v>178263</v>
      </c>
      <c r="AP630" s="24">
        <v>39205920</v>
      </c>
      <c r="AQ630" s="24">
        <v>20336656</v>
      </c>
      <c r="AR630" s="461">
        <f t="shared" si="528"/>
        <v>2.5576190519783944E-3</v>
      </c>
      <c r="AS630" s="25"/>
      <c r="AT630" s="25"/>
      <c r="AU630" s="24"/>
      <c r="AV630" s="298">
        <f t="shared" si="529"/>
        <v>0.8497708641920293</v>
      </c>
      <c r="AW630" s="298"/>
      <c r="AX630" s="24">
        <f t="shared" si="530"/>
        <v>63133.526570048307</v>
      </c>
      <c r="AY630" s="308"/>
      <c r="BA630" s="65">
        <f t="shared" si="531"/>
        <v>88000</v>
      </c>
      <c r="BB630" s="66"/>
      <c r="BC630" s="66">
        <v>754081369</v>
      </c>
      <c r="BD630" s="66"/>
      <c r="BE630" s="66">
        <f t="shared" si="532"/>
        <v>120458</v>
      </c>
      <c r="BF630" s="66"/>
      <c r="BG630" s="144">
        <f t="shared" si="533"/>
        <v>1.3688409090909091</v>
      </c>
      <c r="BH630" s="66"/>
      <c r="BI630" s="170"/>
      <c r="BJ630" s="66"/>
      <c r="BK630" s="66"/>
      <c r="BL630" s="66"/>
      <c r="BM630" s="144"/>
      <c r="BN630" s="65">
        <f t="shared" si="534"/>
        <v>1214301.7214170692</v>
      </c>
      <c r="BO630" s="66"/>
      <c r="BP630" s="66">
        <f t="shared" si="535"/>
        <v>45230071</v>
      </c>
      <c r="BQ630" s="66"/>
      <c r="BR630" s="435">
        <f t="shared" si="536"/>
        <v>5.998035869786885E-2</v>
      </c>
      <c r="BS630" s="66"/>
      <c r="BT630" s="75"/>
      <c r="BU630" s="170"/>
      <c r="BV630" s="1"/>
      <c r="BW630" s="61">
        <f t="shared" si="399"/>
        <v>621</v>
      </c>
    </row>
    <row r="631" spans="2:75" x14ac:dyDescent="0.3">
      <c r="B631" s="158">
        <f t="shared" si="537"/>
        <v>44531</v>
      </c>
      <c r="C631" s="61"/>
      <c r="D631" s="17">
        <v>131460</v>
      </c>
      <c r="E631" s="16"/>
      <c r="F631" s="16"/>
      <c r="G631" s="16"/>
      <c r="H631" s="16">
        <f t="shared" si="517"/>
        <v>46268509</v>
      </c>
      <c r="I631" s="16"/>
      <c r="J631" s="436">
        <f t="shared" si="518"/>
        <v>2.8493369829526807E-3</v>
      </c>
      <c r="K631" s="16"/>
      <c r="L631" s="16"/>
      <c r="M631" s="16"/>
      <c r="N631" s="16">
        <f t="shared" si="519"/>
        <v>480236</v>
      </c>
      <c r="O631" s="16">
        <f t="shared" si="520"/>
        <v>74386.670418006426</v>
      </c>
      <c r="P631" s="41"/>
      <c r="Q631" s="17">
        <f t="shared" si="521"/>
        <v>480236</v>
      </c>
      <c r="R631" s="16"/>
      <c r="S631" s="60">
        <f t="shared" si="522"/>
        <v>-0.12650535571048424</v>
      </c>
      <c r="T631" s="16"/>
      <c r="U631" s="41"/>
      <c r="V631" s="10">
        <f t="shared" si="349"/>
        <v>523</v>
      </c>
      <c r="W631" s="34">
        <v>1745</v>
      </c>
      <c r="X631" s="33">
        <v>4256</v>
      </c>
      <c r="Y631" s="33"/>
      <c r="Z631" s="33">
        <f t="shared" si="523"/>
        <v>5399</v>
      </c>
      <c r="AA631" s="33">
        <f t="shared" si="524"/>
        <v>736344</v>
      </c>
      <c r="AB631" s="33"/>
      <c r="AC631" s="46">
        <f t="shared" si="525"/>
        <v>1.591458242149104E-2</v>
      </c>
      <c r="AD631" s="33"/>
      <c r="AE631" s="33">
        <f t="shared" si="526"/>
        <v>1183.8327974276526</v>
      </c>
      <c r="AF631" s="50"/>
      <c r="AG631" s="33"/>
      <c r="AH631" s="33"/>
      <c r="AI631" s="213"/>
      <c r="AJ631" s="50"/>
      <c r="AL631" s="23">
        <f t="shared" si="527"/>
        <v>112643</v>
      </c>
      <c r="AM631" s="24"/>
      <c r="AN631" s="24"/>
      <c r="AO631" s="24">
        <v>178263</v>
      </c>
      <c r="AP631" s="24">
        <v>39318563</v>
      </c>
      <c r="AQ631" s="24">
        <v>20336656</v>
      </c>
      <c r="AR631" s="461">
        <f t="shared" si="528"/>
        <v>2.8731120198174152E-3</v>
      </c>
      <c r="AS631" s="25"/>
      <c r="AT631" s="25"/>
      <c r="AU631" s="24"/>
      <c r="AV631" s="298">
        <f t="shared" si="529"/>
        <v>0.84979101012310554</v>
      </c>
      <c r="AW631" s="298"/>
      <c r="AX631" s="24">
        <f t="shared" si="530"/>
        <v>63213.123794212217</v>
      </c>
      <c r="AY631" s="308"/>
      <c r="BA631" s="65">
        <f t="shared" si="531"/>
        <v>1604533</v>
      </c>
      <c r="BB631" s="66"/>
      <c r="BC631" s="66">
        <v>755685902</v>
      </c>
      <c r="BD631" s="66"/>
      <c r="BE631" s="66">
        <f t="shared" si="532"/>
        <v>131460</v>
      </c>
      <c r="BF631" s="66"/>
      <c r="BG631" s="144">
        <f t="shared" si="533"/>
        <v>8.1930380989359522E-2</v>
      </c>
      <c r="BH631" s="66"/>
      <c r="BI631" s="170"/>
      <c r="BJ631" s="66"/>
      <c r="BK631" s="66"/>
      <c r="BL631" s="66"/>
      <c r="BM631" s="144"/>
      <c r="BN631" s="65">
        <f t="shared" si="534"/>
        <v>1214929.1028938906</v>
      </c>
      <c r="BO631" s="66"/>
      <c r="BP631" s="66">
        <f t="shared" si="535"/>
        <v>45361531</v>
      </c>
      <c r="BQ631" s="66"/>
      <c r="BR631" s="435">
        <f t="shared" si="536"/>
        <v>6.0026964748113032E-2</v>
      </c>
      <c r="BS631" s="66"/>
      <c r="BT631" s="75"/>
      <c r="BU631" s="170"/>
      <c r="BV631" s="1"/>
      <c r="BW631" s="61">
        <f t="shared" si="399"/>
        <v>622</v>
      </c>
    </row>
    <row r="632" spans="2:75" x14ac:dyDescent="0.3">
      <c r="B632" s="158">
        <f t="shared" si="537"/>
        <v>44532</v>
      </c>
      <c r="C632" s="61"/>
      <c r="D632" s="17">
        <v>146612</v>
      </c>
      <c r="E632" s="16"/>
      <c r="F632" s="16"/>
      <c r="G632" s="16"/>
      <c r="H632" s="16">
        <f t="shared" si="517"/>
        <v>46415121</v>
      </c>
      <c r="I632" s="16"/>
      <c r="J632" s="436">
        <f t="shared" si="518"/>
        <v>3.1687210841395384E-3</v>
      </c>
      <c r="K632" s="16"/>
      <c r="L632" s="16"/>
      <c r="M632" s="16"/>
      <c r="N632" s="16">
        <f t="shared" si="519"/>
        <v>586539</v>
      </c>
      <c r="O632" s="16">
        <f t="shared" si="520"/>
        <v>74502.601926163727</v>
      </c>
      <c r="P632" s="41"/>
      <c r="Q632" s="17">
        <f t="shared" si="521"/>
        <v>586539</v>
      </c>
      <c r="R632" s="16"/>
      <c r="S632" s="60">
        <f t="shared" si="522"/>
        <v>0.19470210815765354</v>
      </c>
      <c r="T632" s="16"/>
      <c r="U632" s="41"/>
      <c r="V632" s="10">
        <f t="shared" si="349"/>
        <v>524</v>
      </c>
      <c r="W632" s="34">
        <v>1528</v>
      </c>
      <c r="X632" s="33">
        <v>4256</v>
      </c>
      <c r="Y632" s="33"/>
      <c r="Z632" s="33">
        <f t="shared" si="523"/>
        <v>6590</v>
      </c>
      <c r="AA632" s="33">
        <f t="shared" si="524"/>
        <v>737872</v>
      </c>
      <c r="AB632" s="33"/>
      <c r="AC632" s="46">
        <f t="shared" si="525"/>
        <v>1.5897233145207142E-2</v>
      </c>
      <c r="AD632" s="33"/>
      <c r="AE632" s="33">
        <f t="shared" si="526"/>
        <v>1184.3852327447833</v>
      </c>
      <c r="AF632" s="50"/>
      <c r="AG632" s="33"/>
      <c r="AH632" s="33"/>
      <c r="AI632" s="213"/>
      <c r="AJ632" s="50"/>
      <c r="AL632" s="23">
        <f t="shared" si="527"/>
        <v>71083</v>
      </c>
      <c r="AM632" s="24"/>
      <c r="AN632" s="24"/>
      <c r="AO632" s="24">
        <v>178263</v>
      </c>
      <c r="AP632" s="24">
        <v>39389646</v>
      </c>
      <c r="AQ632" s="24">
        <v>20336656</v>
      </c>
      <c r="AR632" s="461">
        <f t="shared" si="528"/>
        <v>1.8078738025090082E-3</v>
      </c>
      <c r="AS632" s="25"/>
      <c r="AT632" s="25"/>
      <c r="AU632" s="24"/>
      <c r="AV632" s="298">
        <f t="shared" si="529"/>
        <v>0.848638227184628</v>
      </c>
      <c r="AW632" s="298"/>
      <c r="AX632" s="24">
        <f t="shared" si="530"/>
        <v>63225.756019261637</v>
      </c>
      <c r="AY632" s="308"/>
      <c r="BA632" s="65">
        <f t="shared" si="531"/>
        <v>1879157</v>
      </c>
      <c r="BB632" s="66"/>
      <c r="BC632" s="66">
        <v>757565059</v>
      </c>
      <c r="BD632" s="66"/>
      <c r="BE632" s="66">
        <f t="shared" si="532"/>
        <v>146612</v>
      </c>
      <c r="BF632" s="66"/>
      <c r="BG632" s="144">
        <f t="shared" si="533"/>
        <v>7.8020090923749313E-2</v>
      </c>
      <c r="BH632" s="66"/>
      <c r="BI632" s="170"/>
      <c r="BJ632" s="66"/>
      <c r="BK632" s="66"/>
      <c r="BL632" s="66"/>
      <c r="BM632" s="144"/>
      <c r="BN632" s="65">
        <f t="shared" si="534"/>
        <v>1215995.2792937399</v>
      </c>
      <c r="BO632" s="66"/>
      <c r="BP632" s="66">
        <f t="shared" si="535"/>
        <v>45508143</v>
      </c>
      <c r="BQ632" s="66"/>
      <c r="BR632" s="435">
        <f t="shared" si="536"/>
        <v>6.0071597098302815E-2</v>
      </c>
      <c r="BS632" s="66"/>
      <c r="BT632" s="75"/>
      <c r="BU632" s="170"/>
      <c r="BV632" s="1"/>
      <c r="BW632" s="61">
        <f t="shared" si="399"/>
        <v>623</v>
      </c>
    </row>
    <row r="633" spans="2:75" x14ac:dyDescent="0.3">
      <c r="B633" s="158">
        <f t="shared" si="537"/>
        <v>44533</v>
      </c>
      <c r="C633" s="61"/>
      <c r="D633" s="17">
        <v>147434</v>
      </c>
      <c r="E633" s="16"/>
      <c r="F633" s="16"/>
      <c r="G633" s="16"/>
      <c r="H633" s="16">
        <f t="shared" si="517"/>
        <v>46562555</v>
      </c>
      <c r="I633" s="16"/>
      <c r="J633" s="436">
        <f t="shared" si="518"/>
        <v>3.176421752730107E-3</v>
      </c>
      <c r="K633" s="16"/>
      <c r="L633" s="16"/>
      <c r="M633" s="16"/>
      <c r="N633" s="16">
        <f t="shared" si="519"/>
        <v>696287</v>
      </c>
      <c r="O633" s="16">
        <f t="shared" si="520"/>
        <v>74619.479166666672</v>
      </c>
      <c r="P633" s="41"/>
      <c r="Q633" s="17">
        <f t="shared" si="521"/>
        <v>696287</v>
      </c>
      <c r="R633" s="16"/>
      <c r="S633" s="60">
        <f t="shared" si="522"/>
        <v>0.67052616678702615</v>
      </c>
      <c r="T633" s="16"/>
      <c r="U633" s="41"/>
      <c r="V633" s="10">
        <f t="shared" si="349"/>
        <v>525</v>
      </c>
      <c r="W633" s="34">
        <v>1352</v>
      </c>
      <c r="X633" s="33">
        <v>4256</v>
      </c>
      <c r="Y633" s="33"/>
      <c r="Z633" s="33">
        <f t="shared" si="523"/>
        <v>7815</v>
      </c>
      <c r="AA633" s="33">
        <f t="shared" si="524"/>
        <v>739224</v>
      </c>
      <c r="AB633" s="33"/>
      <c r="AC633" s="46">
        <f t="shared" si="525"/>
        <v>1.5875932925072517E-2</v>
      </c>
      <c r="AD633" s="33"/>
      <c r="AE633" s="33">
        <f t="shared" si="526"/>
        <v>1184.6538461538462</v>
      </c>
      <c r="AF633" s="50"/>
      <c r="AG633" s="33"/>
      <c r="AH633" s="33"/>
      <c r="AI633" s="213"/>
      <c r="AJ633" s="50"/>
      <c r="AL633" s="23">
        <f t="shared" si="527"/>
        <v>73599</v>
      </c>
      <c r="AM633" s="24"/>
      <c r="AN633" s="24"/>
      <c r="AO633" s="24">
        <v>178263</v>
      </c>
      <c r="AP633" s="24">
        <v>39463245</v>
      </c>
      <c r="AQ633" s="24">
        <v>20336656</v>
      </c>
      <c r="AR633" s="461">
        <f t="shared" si="528"/>
        <v>1.8684859467891638E-3</v>
      </c>
      <c r="AS633" s="25"/>
      <c r="AT633" s="25"/>
      <c r="AU633" s="24"/>
      <c r="AV633" s="298">
        <f t="shared" si="529"/>
        <v>0.84753177741212871</v>
      </c>
      <c r="AW633" s="298"/>
      <c r="AX633" s="24">
        <f t="shared" si="530"/>
        <v>63242.379807692305</v>
      </c>
      <c r="AY633" s="308"/>
      <c r="BA633" s="65">
        <f t="shared" si="531"/>
        <v>2036316</v>
      </c>
      <c r="BB633" s="66"/>
      <c r="BC633" s="66">
        <v>759601375</v>
      </c>
      <c r="BD633" s="66"/>
      <c r="BE633" s="66">
        <f t="shared" si="532"/>
        <v>147434</v>
      </c>
      <c r="BF633" s="66"/>
      <c r="BG633" s="144">
        <f t="shared" si="533"/>
        <v>7.2402318697098095E-2</v>
      </c>
      <c r="BH633" s="66"/>
      <c r="BI633" s="170"/>
      <c r="BJ633" s="66"/>
      <c r="BK633" s="66"/>
      <c r="BL633" s="66"/>
      <c r="BM633" s="144"/>
      <c r="BN633" s="65">
        <f t="shared" si="534"/>
        <v>1217309.8958333333</v>
      </c>
      <c r="BO633" s="66"/>
      <c r="BP633" s="66">
        <f t="shared" si="535"/>
        <v>45655577</v>
      </c>
      <c r="BQ633" s="66"/>
      <c r="BR633" s="435">
        <f t="shared" si="536"/>
        <v>6.0104652917459506E-2</v>
      </c>
      <c r="BS633" s="66"/>
      <c r="BT633" s="75"/>
      <c r="BU633" s="170"/>
      <c r="BV633" s="1"/>
      <c r="BW633" s="61">
        <f t="shared" si="399"/>
        <v>624</v>
      </c>
    </row>
    <row r="634" spans="2:75" x14ac:dyDescent="0.3">
      <c r="B634" s="158">
        <f t="shared" si="537"/>
        <v>44534</v>
      </c>
      <c r="C634" s="61"/>
      <c r="D634" s="17">
        <v>56742</v>
      </c>
      <c r="E634" s="16"/>
      <c r="F634" s="16"/>
      <c r="G634" s="16"/>
      <c r="H634" s="16">
        <f t="shared" si="517"/>
        <v>46619297</v>
      </c>
      <c r="I634" s="16"/>
      <c r="J634" s="436">
        <f t="shared" si="518"/>
        <v>1.2186186947859712E-3</v>
      </c>
      <c r="K634" s="16"/>
      <c r="L634" s="16"/>
      <c r="M634" s="16"/>
      <c r="N634" s="16">
        <f t="shared" si="519"/>
        <v>730417</v>
      </c>
      <c r="O634" s="16">
        <f t="shared" si="520"/>
        <v>74590.875199999995</v>
      </c>
      <c r="P634" s="41"/>
      <c r="Q634" s="17">
        <f t="shared" si="521"/>
        <v>730417</v>
      </c>
      <c r="R634" s="16"/>
      <c r="S634" s="60">
        <f t="shared" si="522"/>
        <v>0.81341208482916483</v>
      </c>
      <c r="T634" s="16"/>
      <c r="U634" s="41"/>
      <c r="V634" s="10">
        <f t="shared" si="349"/>
        <v>526</v>
      </c>
      <c r="W634" s="34">
        <v>492</v>
      </c>
      <c r="X634" s="33">
        <v>4256</v>
      </c>
      <c r="Y634" s="33"/>
      <c r="Z634" s="33">
        <f t="shared" si="523"/>
        <v>8205</v>
      </c>
      <c r="AA634" s="33">
        <f t="shared" si="524"/>
        <v>739716</v>
      </c>
      <c r="AB634" s="33"/>
      <c r="AC634" s="46">
        <f t="shared" si="525"/>
        <v>1.5867163333672749E-2</v>
      </c>
      <c r="AD634" s="33"/>
      <c r="AE634" s="33">
        <f t="shared" si="526"/>
        <v>1183.5455999999999</v>
      </c>
      <c r="AF634" s="50"/>
      <c r="AG634" s="33"/>
      <c r="AH634" s="33"/>
      <c r="AI634" s="213"/>
      <c r="AJ634" s="50"/>
      <c r="AL634" s="23">
        <f t="shared" si="527"/>
        <v>34866</v>
      </c>
      <c r="AM634" s="24"/>
      <c r="AN634" s="24"/>
      <c r="AO634" s="24">
        <v>178263</v>
      </c>
      <c r="AP634" s="24">
        <v>39498111</v>
      </c>
      <c r="AQ634" s="24">
        <v>20336656</v>
      </c>
      <c r="AR634" s="461">
        <f t="shared" si="528"/>
        <v>8.8350565190470267E-4</v>
      </c>
      <c r="AS634" s="25"/>
      <c r="AT634" s="25"/>
      <c r="AU634" s="24"/>
      <c r="AV634" s="298">
        <f t="shared" si="529"/>
        <v>0.84724810414880347</v>
      </c>
      <c r="AW634" s="298"/>
      <c r="AX634" s="24">
        <f t="shared" si="530"/>
        <v>63196.977599999998</v>
      </c>
      <c r="AY634" s="308"/>
      <c r="BA634" s="65">
        <f t="shared" si="531"/>
        <v>570108</v>
      </c>
      <c r="BB634" s="66"/>
      <c r="BC634" s="66">
        <v>760171483</v>
      </c>
      <c r="BD634" s="66"/>
      <c r="BE634" s="66">
        <f t="shared" si="532"/>
        <v>56742</v>
      </c>
      <c r="BF634" s="66"/>
      <c r="BG634" s="144">
        <f t="shared" si="533"/>
        <v>9.9528510387505528E-2</v>
      </c>
      <c r="BH634" s="66"/>
      <c r="BI634" s="170"/>
      <c r="BJ634" s="66"/>
      <c r="BK634" s="66"/>
      <c r="BL634" s="66"/>
      <c r="BM634" s="144"/>
      <c r="BN634" s="65">
        <f t="shared" si="534"/>
        <v>1216274.3728</v>
      </c>
      <c r="BO634" s="66"/>
      <c r="BP634" s="66">
        <f t="shared" si="535"/>
        <v>45712319</v>
      </c>
      <c r="BQ634" s="66"/>
      <c r="BR634" s="435">
        <f t="shared" si="536"/>
        <v>6.0134219741573756E-2</v>
      </c>
      <c r="BS634" s="66"/>
      <c r="BT634" s="75"/>
      <c r="BU634" s="170"/>
      <c r="BV634" s="1"/>
      <c r="BW634" s="61">
        <f t="shared" si="399"/>
        <v>625</v>
      </c>
    </row>
    <row r="635" spans="2:75" x14ac:dyDescent="0.3">
      <c r="B635" s="347">
        <f t="shared" si="537"/>
        <v>44535</v>
      </c>
      <c r="C635" s="61"/>
      <c r="D635" s="17">
        <v>35065</v>
      </c>
      <c r="E635" s="16"/>
      <c r="F635" s="16"/>
      <c r="G635" s="16"/>
      <c r="H635" s="16">
        <f t="shared" si="517"/>
        <v>46654362</v>
      </c>
      <c r="I635" s="16"/>
      <c r="J635" s="436">
        <f t="shared" si="518"/>
        <v>7.5215634418511284E-4</v>
      </c>
      <c r="K635" s="16"/>
      <c r="L635" s="16"/>
      <c r="M635" s="16"/>
      <c r="N635" s="16">
        <f t="shared" si="519"/>
        <v>744647</v>
      </c>
      <c r="O635" s="16">
        <f t="shared" si="520"/>
        <v>74527.734824281157</v>
      </c>
      <c r="P635" s="41"/>
      <c r="Q635" s="17">
        <f t="shared" si="521"/>
        <v>744647</v>
      </c>
      <c r="R635" s="16"/>
      <c r="S635" s="60">
        <f t="shared" si="522"/>
        <v>0.92697569824523263</v>
      </c>
      <c r="T635" s="16"/>
      <c r="U635" s="41"/>
      <c r="V635" s="10">
        <f t="shared" si="349"/>
        <v>527</v>
      </c>
      <c r="W635" s="34">
        <v>155</v>
      </c>
      <c r="X635" s="33">
        <v>4256</v>
      </c>
      <c r="Y635" s="33"/>
      <c r="Z635" s="33">
        <f t="shared" si="523"/>
        <v>6922</v>
      </c>
      <c r="AA635" s="33">
        <f t="shared" si="524"/>
        <v>739871</v>
      </c>
      <c r="AB635" s="33"/>
      <c r="AC635" s="46">
        <f t="shared" si="525"/>
        <v>1.585856002060429E-2</v>
      </c>
      <c r="AD635" s="33"/>
      <c r="AE635" s="33">
        <f t="shared" si="526"/>
        <v>1181.9025559105432</v>
      </c>
      <c r="AF635" s="50"/>
      <c r="AG635" s="33"/>
      <c r="AH635" s="33"/>
      <c r="AI635" s="213"/>
      <c r="AJ635" s="50"/>
      <c r="AL635" s="23">
        <f t="shared" si="527"/>
        <v>25462</v>
      </c>
      <c r="AM635" s="24"/>
      <c r="AN635" s="24"/>
      <c r="AO635" s="24">
        <v>178263</v>
      </c>
      <c r="AP635" s="24">
        <v>39523573</v>
      </c>
      <c r="AQ635" s="24">
        <v>20336656</v>
      </c>
      <c r="AR635" s="461">
        <f t="shared" si="528"/>
        <v>6.4463842334130863E-4</v>
      </c>
      <c r="AS635" s="25"/>
      <c r="AT635" s="25"/>
      <c r="AU635" s="24"/>
      <c r="AV635" s="298">
        <f t="shared" si="529"/>
        <v>0.84715707825990638</v>
      </c>
      <c r="AW635" s="298"/>
      <c r="AX635" s="24">
        <f t="shared" si="530"/>
        <v>63136.698083067095</v>
      </c>
      <c r="AY635" s="308"/>
      <c r="BA635" s="65">
        <f t="shared" si="531"/>
        <v>465359</v>
      </c>
      <c r="BB635" s="66"/>
      <c r="BC635" s="66">
        <v>760636842</v>
      </c>
      <c r="BD635" s="66"/>
      <c r="BE635" s="66">
        <f t="shared" si="532"/>
        <v>35065</v>
      </c>
      <c r="BF635" s="66"/>
      <c r="BG635" s="144">
        <f t="shared" si="533"/>
        <v>7.5350428378950451E-2</v>
      </c>
      <c r="BH635" s="66"/>
      <c r="BI635" s="170"/>
      <c r="BJ635" s="66"/>
      <c r="BK635" s="66"/>
      <c r="BL635" s="66"/>
      <c r="BM635" s="144"/>
      <c r="BN635" s="65">
        <f t="shared" si="534"/>
        <v>1215074.8274760384</v>
      </c>
      <c r="BO635" s="66"/>
      <c r="BP635" s="66">
        <f t="shared" si="535"/>
        <v>45747384</v>
      </c>
      <c r="BQ635" s="66"/>
      <c r="BR635" s="435">
        <f t="shared" si="536"/>
        <v>6.0143529045625692E-2</v>
      </c>
      <c r="BS635" s="66"/>
      <c r="BT635" s="75"/>
      <c r="BU635" s="170"/>
      <c r="BV635" s="1"/>
      <c r="BW635" s="61">
        <f t="shared" si="399"/>
        <v>626</v>
      </c>
    </row>
    <row r="636" spans="2:75" x14ac:dyDescent="0.3">
      <c r="B636" s="158">
        <f t="shared" si="537"/>
        <v>44536</v>
      </c>
      <c r="C636" s="61"/>
      <c r="D636" s="17">
        <v>91965</v>
      </c>
      <c r="E636" s="16"/>
      <c r="F636" s="16"/>
      <c r="G636" s="16"/>
      <c r="H636" s="16">
        <f t="shared" si="517"/>
        <v>46746327</v>
      </c>
      <c r="I636" s="16"/>
      <c r="J636" s="436">
        <f t="shared" si="518"/>
        <v>1.9711983201056312E-3</v>
      </c>
      <c r="K636" s="16"/>
      <c r="L636" s="16"/>
      <c r="M636" s="16"/>
      <c r="N636" s="16">
        <f t="shared" si="519"/>
        <v>729736</v>
      </c>
      <c r="O636" s="16">
        <f t="shared" si="520"/>
        <v>74555.545454545456</v>
      </c>
      <c r="P636" s="41"/>
      <c r="Q636" s="17">
        <f t="shared" si="521"/>
        <v>729736</v>
      </c>
      <c r="R636" s="16"/>
      <c r="S636" s="60">
        <f t="shared" si="522"/>
        <v>0.74097763823711149</v>
      </c>
      <c r="T636" s="16"/>
      <c r="U636" s="41"/>
      <c r="V636" s="10">
        <f t="shared" si="349"/>
        <v>528</v>
      </c>
      <c r="W636" s="34">
        <v>725</v>
      </c>
      <c r="X636" s="33">
        <v>4256</v>
      </c>
      <c r="Y636" s="33"/>
      <c r="Z636" s="33">
        <f t="shared" si="523"/>
        <v>5997</v>
      </c>
      <c r="AA636" s="33">
        <f t="shared" si="524"/>
        <v>740596</v>
      </c>
      <c r="AB636" s="33"/>
      <c r="AC636" s="46">
        <f t="shared" si="525"/>
        <v>1.5842870392790434E-2</v>
      </c>
      <c r="AD636" s="33"/>
      <c r="AE636" s="33">
        <f t="shared" si="526"/>
        <v>1181.1738437001595</v>
      </c>
      <c r="AF636" s="50"/>
      <c r="AG636" s="33"/>
      <c r="AH636" s="33"/>
      <c r="AI636" s="213"/>
      <c r="AJ636" s="50"/>
      <c r="AL636" s="23">
        <f t="shared" si="527"/>
        <v>151627</v>
      </c>
      <c r="AM636" s="24"/>
      <c r="AN636" s="24"/>
      <c r="AO636" s="24">
        <v>178263</v>
      </c>
      <c r="AP636" s="24">
        <v>39675200</v>
      </c>
      <c r="AQ636" s="24">
        <v>20336656</v>
      </c>
      <c r="AR636" s="461">
        <f t="shared" si="528"/>
        <v>3.8363687412572745E-3</v>
      </c>
      <c r="AS636" s="25"/>
      <c r="AT636" s="25"/>
      <c r="AU636" s="24"/>
      <c r="AV636" s="298">
        <f t="shared" si="529"/>
        <v>0.84873406203657453</v>
      </c>
      <c r="AW636" s="298"/>
      <c r="AX636" s="24">
        <f t="shared" si="530"/>
        <v>63277.830940988839</v>
      </c>
      <c r="AY636" s="308"/>
      <c r="BA636" s="65">
        <f t="shared" si="531"/>
        <v>4161741</v>
      </c>
      <c r="BB636" s="66"/>
      <c r="BC636" s="66">
        <v>764798583</v>
      </c>
      <c r="BD636" s="66"/>
      <c r="BE636" s="66">
        <f t="shared" si="532"/>
        <v>91965</v>
      </c>
      <c r="BF636" s="66"/>
      <c r="BG636" s="144">
        <f t="shared" si="533"/>
        <v>2.2097723044274018E-2</v>
      </c>
      <c r="BH636" s="66"/>
      <c r="BI636" s="170"/>
      <c r="BJ636" s="66"/>
      <c r="BK636" s="66"/>
      <c r="BL636" s="66"/>
      <c r="BM636" s="144"/>
      <c r="BN636" s="65">
        <f t="shared" si="534"/>
        <v>1219774.4545454546</v>
      </c>
      <c r="BO636" s="66"/>
      <c r="BP636" s="66">
        <f t="shared" si="535"/>
        <v>45839349</v>
      </c>
      <c r="BQ636" s="66"/>
      <c r="BR636" s="435">
        <f t="shared" si="536"/>
        <v>5.9936498339458875E-2</v>
      </c>
      <c r="BS636" s="66"/>
      <c r="BT636" s="75"/>
      <c r="BU636" s="170"/>
      <c r="BV636" s="1"/>
      <c r="BW636" s="61">
        <f t="shared" si="399"/>
        <v>627</v>
      </c>
    </row>
    <row r="637" spans="2:75" x14ac:dyDescent="0.3">
      <c r="B637" s="158">
        <f t="shared" si="537"/>
        <v>44537</v>
      </c>
      <c r="C637" s="61"/>
      <c r="D637" s="17">
        <v>107642</v>
      </c>
      <c r="E637" s="16"/>
      <c r="F637" s="16"/>
      <c r="G637" s="16"/>
      <c r="H637" s="16">
        <f t="shared" si="517"/>
        <v>46853969</v>
      </c>
      <c r="I637" s="16"/>
      <c r="J637" s="436">
        <f t="shared" si="518"/>
        <v>2.3026835883811791E-3</v>
      </c>
      <c r="K637" s="16"/>
      <c r="L637" s="16"/>
      <c r="M637" s="16"/>
      <c r="N637" s="16">
        <f t="shared" si="519"/>
        <v>716920</v>
      </c>
      <c r="O637" s="16">
        <f t="shared" si="520"/>
        <v>74608.230891719752</v>
      </c>
      <c r="P637" s="41"/>
      <c r="Q637" s="17">
        <f t="shared" si="521"/>
        <v>716920</v>
      </c>
      <c r="R637" s="16"/>
      <c r="S637" s="60">
        <f t="shared" si="522"/>
        <v>0.58052888590041773</v>
      </c>
      <c r="T637" s="16"/>
      <c r="U637" s="41"/>
      <c r="V637" s="10">
        <f t="shared" si="349"/>
        <v>529</v>
      </c>
      <c r="W637" s="34">
        <v>1722</v>
      </c>
      <c r="X637" s="33">
        <v>4256</v>
      </c>
      <c r="Y637" s="33"/>
      <c r="Z637" s="33">
        <f t="shared" si="523"/>
        <v>5974</v>
      </c>
      <c r="AA637" s="33">
        <f t="shared" si="524"/>
        <v>742318</v>
      </c>
      <c r="AB637" s="33"/>
      <c r="AC637" s="46">
        <f t="shared" si="525"/>
        <v>1.5843225576044583E-2</v>
      </c>
      <c r="AD637" s="33"/>
      <c r="AE637" s="33">
        <f t="shared" si="526"/>
        <v>1182.0350318471337</v>
      </c>
      <c r="AF637" s="50"/>
      <c r="AG637" s="33"/>
      <c r="AH637" s="33"/>
      <c r="AI637" s="213"/>
      <c r="AJ637" s="50"/>
      <c r="AL637" s="23">
        <f t="shared" si="527"/>
        <v>67667</v>
      </c>
      <c r="AM637" s="24"/>
      <c r="AN637" s="24"/>
      <c r="AO637" s="24">
        <v>178263</v>
      </c>
      <c r="AP637" s="24">
        <v>39742867</v>
      </c>
      <c r="AQ637" s="24">
        <v>20336656</v>
      </c>
      <c r="AR637" s="461">
        <f t="shared" si="528"/>
        <v>1.7055238536919789E-3</v>
      </c>
      <c r="AS637" s="25"/>
      <c r="AT637" s="25"/>
      <c r="AU637" s="24"/>
      <c r="AV637" s="298">
        <f t="shared" si="529"/>
        <v>0.84822839661673055</v>
      </c>
      <c r="AW637" s="298"/>
      <c r="AX637" s="24">
        <f t="shared" si="530"/>
        <v>63284.820063694271</v>
      </c>
      <c r="AY637" s="308"/>
      <c r="BA637" s="65">
        <f t="shared" si="531"/>
        <v>1594691</v>
      </c>
      <c r="BB637" s="66"/>
      <c r="BC637" s="66">
        <v>766393274</v>
      </c>
      <c r="BD637" s="66"/>
      <c r="BE637" s="66">
        <f t="shared" si="532"/>
        <v>107642</v>
      </c>
      <c r="BF637" s="66"/>
      <c r="BG637" s="144">
        <f t="shared" si="533"/>
        <v>6.7500224181361784E-2</v>
      </c>
      <c r="BH637" s="66"/>
      <c r="BI637" s="170"/>
      <c r="BJ637" s="66"/>
      <c r="BK637" s="66"/>
      <c r="BL637" s="66"/>
      <c r="BM637" s="144"/>
      <c r="BN637" s="65">
        <f t="shared" si="534"/>
        <v>1220371.4554140128</v>
      </c>
      <c r="BO637" s="66"/>
      <c r="BP637" s="66">
        <f t="shared" si="535"/>
        <v>45946991</v>
      </c>
      <c r="BQ637" s="66"/>
      <c r="BR637" s="435">
        <f t="shared" si="536"/>
        <v>5.9952236741576626E-2</v>
      </c>
      <c r="BS637" s="66"/>
      <c r="BT637" s="75"/>
      <c r="BU637" s="170"/>
      <c r="BV637" s="1"/>
      <c r="BW637" s="61">
        <f t="shared" si="399"/>
        <v>628</v>
      </c>
    </row>
    <row r="638" spans="2:75" x14ac:dyDescent="0.3">
      <c r="B638" s="158">
        <f t="shared" si="537"/>
        <v>44538</v>
      </c>
      <c r="C638" s="61"/>
      <c r="D638" s="17">
        <v>127411</v>
      </c>
      <c r="E638" s="16"/>
      <c r="F638" s="16"/>
      <c r="G638" s="16"/>
      <c r="H638" s="16">
        <f t="shared" si="517"/>
        <v>46981380</v>
      </c>
      <c r="I638" s="16"/>
      <c r="J638" s="436">
        <f t="shared" si="518"/>
        <v>2.7193213876928976E-3</v>
      </c>
      <c r="K638" s="16"/>
      <c r="L638" s="16"/>
      <c r="M638" s="16"/>
      <c r="N638" s="16">
        <f t="shared" si="519"/>
        <v>712871</v>
      </c>
      <c r="O638" s="16">
        <f t="shared" si="520"/>
        <v>74692.178060413353</v>
      </c>
      <c r="P638" s="41"/>
      <c r="Q638" s="17">
        <f t="shared" si="521"/>
        <v>712871</v>
      </c>
      <c r="R638" s="16"/>
      <c r="S638" s="60">
        <f t="shared" si="522"/>
        <v>0.4844180777784256</v>
      </c>
      <c r="T638" s="16"/>
      <c r="U638" s="41"/>
      <c r="V638" s="10">
        <f t="shared" si="349"/>
        <v>530</v>
      </c>
      <c r="W638" s="34">
        <v>1324</v>
      </c>
      <c r="X638" s="33">
        <v>4256</v>
      </c>
      <c r="Y638" s="33"/>
      <c r="Z638" s="33">
        <f t="shared" si="523"/>
        <v>5770</v>
      </c>
      <c r="AA638" s="33">
        <f t="shared" si="524"/>
        <v>743642</v>
      </c>
      <c r="AB638" s="33"/>
      <c r="AC638" s="46">
        <f t="shared" si="525"/>
        <v>1.5828440969592635E-2</v>
      </c>
      <c r="AD638" s="33"/>
      <c r="AE638" s="33">
        <f t="shared" si="526"/>
        <v>1182.2607313195549</v>
      </c>
      <c r="AF638" s="50"/>
      <c r="AG638" s="33"/>
      <c r="AH638" s="33"/>
      <c r="AI638" s="213"/>
      <c r="AJ638" s="50"/>
      <c r="AL638" s="23">
        <f t="shared" si="527"/>
        <v>72999</v>
      </c>
      <c r="AM638" s="24"/>
      <c r="AN638" s="24"/>
      <c r="AO638" s="24">
        <v>178263</v>
      </c>
      <c r="AP638" s="24">
        <v>39815866</v>
      </c>
      <c r="AQ638" s="24">
        <v>20336656</v>
      </c>
      <c r="AR638" s="461">
        <f t="shared" si="528"/>
        <v>1.83678243444289E-3</v>
      </c>
      <c r="AS638" s="25"/>
      <c r="AT638" s="25"/>
      <c r="AU638" s="24"/>
      <c r="AV638" s="298">
        <f t="shared" si="529"/>
        <v>0.84748183216414674</v>
      </c>
      <c r="AW638" s="298"/>
      <c r="AX638" s="24">
        <f t="shared" si="530"/>
        <v>63300.263910969792</v>
      </c>
      <c r="AY638" s="308"/>
      <c r="BA638" s="65">
        <f t="shared" si="531"/>
        <v>1951172</v>
      </c>
      <c r="BB638" s="66"/>
      <c r="BC638" s="66">
        <v>768344446</v>
      </c>
      <c r="BD638" s="66"/>
      <c r="BE638" s="66">
        <f t="shared" si="532"/>
        <v>127411</v>
      </c>
      <c r="BF638" s="66"/>
      <c r="BG638" s="144">
        <f t="shared" si="533"/>
        <v>6.5299727548365799E-2</v>
      </c>
      <c r="BH638" s="66"/>
      <c r="BI638" s="170"/>
      <c r="BJ638" s="66"/>
      <c r="BK638" s="66"/>
      <c r="BL638" s="66"/>
      <c r="BM638" s="144"/>
      <c r="BN638" s="65">
        <f t="shared" si="534"/>
        <v>1221533.3004769476</v>
      </c>
      <c r="BO638" s="66"/>
      <c r="BP638" s="66">
        <f t="shared" si="535"/>
        <v>46074402</v>
      </c>
      <c r="BQ638" s="66"/>
      <c r="BR638" s="435">
        <f t="shared" si="536"/>
        <v>5.9965816424994371E-2</v>
      </c>
      <c r="BS638" s="66"/>
      <c r="BT638" s="75"/>
      <c r="BU638" s="170"/>
      <c r="BV638" s="1"/>
      <c r="BW638" s="61">
        <f t="shared" si="399"/>
        <v>629</v>
      </c>
    </row>
    <row r="639" spans="2:75" x14ac:dyDescent="0.3">
      <c r="B639" s="158">
        <f t="shared" si="537"/>
        <v>44539</v>
      </c>
      <c r="C639" s="61"/>
      <c r="D639" s="17">
        <v>110894</v>
      </c>
      <c r="E639" s="16"/>
      <c r="F639" s="16"/>
      <c r="G639" s="16"/>
      <c r="H639" s="16">
        <f t="shared" si="517"/>
        <v>47092274</v>
      </c>
      <c r="I639" s="16"/>
      <c r="J639" s="436">
        <f t="shared" si="518"/>
        <v>2.3603819215186955E-3</v>
      </c>
      <c r="K639" s="16"/>
      <c r="L639" s="16"/>
      <c r="M639" s="16"/>
      <c r="N639" s="16">
        <f t="shared" si="519"/>
        <v>677153</v>
      </c>
      <c r="O639" s="16">
        <f t="shared" si="520"/>
        <v>74749.641269841275</v>
      </c>
      <c r="P639" s="41"/>
      <c r="Q639" s="17">
        <f t="shared" si="521"/>
        <v>677153</v>
      </c>
      <c r="R639" s="16"/>
      <c r="S639" s="60">
        <f t="shared" si="522"/>
        <v>0.15448930079670747</v>
      </c>
      <c r="T639" s="16"/>
      <c r="U639" s="41"/>
      <c r="V639" s="10">
        <f t="shared" si="349"/>
        <v>531</v>
      </c>
      <c r="W639" s="34">
        <v>1088</v>
      </c>
      <c r="X639" s="33">
        <v>4256</v>
      </c>
      <c r="Y639" s="33"/>
      <c r="Z639" s="33">
        <f t="shared" si="523"/>
        <v>5506</v>
      </c>
      <c r="AA639" s="33">
        <f t="shared" si="524"/>
        <v>744730</v>
      </c>
      <c r="AB639" s="33"/>
      <c r="AC639" s="46">
        <f t="shared" si="525"/>
        <v>1.5814271360096138E-2</v>
      </c>
      <c r="AD639" s="33"/>
      <c r="AE639" s="33">
        <f t="shared" si="526"/>
        <v>1182.1111111111111</v>
      </c>
      <c r="AF639" s="50"/>
      <c r="AG639" s="33"/>
      <c r="AH639" s="33"/>
      <c r="AI639" s="213"/>
      <c r="AJ639" s="50"/>
      <c r="AL639" s="23">
        <f t="shared" si="527"/>
        <v>63582</v>
      </c>
      <c r="AM639" s="24"/>
      <c r="AN639" s="24"/>
      <c r="AO639" s="24">
        <v>178263</v>
      </c>
      <c r="AP639" s="24">
        <v>39879448</v>
      </c>
      <c r="AQ639" s="24">
        <v>20336656</v>
      </c>
      <c r="AR639" s="461">
        <f t="shared" si="528"/>
        <v>1.5969010946540758E-3</v>
      </c>
      <c r="AS639" s="25"/>
      <c r="AT639" s="25"/>
      <c r="AU639" s="24"/>
      <c r="AV639" s="298">
        <f t="shared" si="529"/>
        <v>0.84683631969014705</v>
      </c>
      <c r="AW639" s="298"/>
      <c r="AX639" s="24">
        <f t="shared" si="530"/>
        <v>63300.711111111108</v>
      </c>
      <c r="AY639" s="308"/>
      <c r="BA639" s="65">
        <f t="shared" si="531"/>
        <v>1622015</v>
      </c>
      <c r="BB639" s="66"/>
      <c r="BC639" s="66">
        <v>769966461</v>
      </c>
      <c r="BD639" s="66"/>
      <c r="BE639" s="66">
        <f t="shared" si="532"/>
        <v>110894</v>
      </c>
      <c r="BF639" s="66"/>
      <c r="BG639" s="144">
        <f t="shared" si="533"/>
        <v>6.8368048384262789E-2</v>
      </c>
      <c r="BH639" s="66"/>
      <c r="BI639" s="170"/>
      <c r="BJ639" s="66"/>
      <c r="BK639" s="66"/>
      <c r="BL639" s="66"/>
      <c r="BM639" s="144"/>
      <c r="BN639" s="65">
        <f t="shared" si="534"/>
        <v>1222168.9857142856</v>
      </c>
      <c r="BO639" s="66"/>
      <c r="BP639" s="66">
        <f t="shared" si="535"/>
        <v>46185296</v>
      </c>
      <c r="BQ639" s="66"/>
      <c r="BR639" s="435">
        <f t="shared" si="536"/>
        <v>5.9983516606705811E-2</v>
      </c>
      <c r="BS639" s="66"/>
      <c r="BT639" s="75"/>
      <c r="BU639" s="170"/>
      <c r="BV639" s="1"/>
      <c r="BW639" s="61">
        <f t="shared" si="399"/>
        <v>630</v>
      </c>
    </row>
    <row r="640" spans="2:75" x14ac:dyDescent="0.3">
      <c r="B640" s="158">
        <f t="shared" si="537"/>
        <v>44540</v>
      </c>
      <c r="C640" s="61"/>
      <c r="D640" s="17">
        <v>136839</v>
      </c>
      <c r="E640" s="16"/>
      <c r="F640" s="16"/>
      <c r="G640" s="16"/>
      <c r="H640" s="16">
        <f t="shared" si="517"/>
        <v>47229113</v>
      </c>
      <c r="I640" s="16"/>
      <c r="J640" s="436">
        <f t="shared" si="518"/>
        <v>2.9057632680893684E-3</v>
      </c>
      <c r="K640" s="16"/>
      <c r="L640" s="16"/>
      <c r="M640" s="16"/>
      <c r="N640" s="16">
        <f t="shared" si="519"/>
        <v>666558</v>
      </c>
      <c r="O640" s="16">
        <f t="shared" si="520"/>
        <v>74848.039619651347</v>
      </c>
      <c r="P640" s="41"/>
      <c r="Q640" s="17">
        <f t="shared" si="521"/>
        <v>666558</v>
      </c>
      <c r="R640" s="16"/>
      <c r="S640" s="60">
        <f t="shared" si="522"/>
        <v>-4.2696474298672821E-2</v>
      </c>
      <c r="T640" s="16"/>
      <c r="U640" s="41"/>
      <c r="V640" s="10">
        <f t="shared" si="349"/>
        <v>532</v>
      </c>
      <c r="W640" s="34">
        <v>1574</v>
      </c>
      <c r="X640" s="33">
        <v>4256</v>
      </c>
      <c r="Y640" s="33"/>
      <c r="Z640" s="33">
        <f t="shared" si="523"/>
        <v>6588</v>
      </c>
      <c r="AA640" s="33">
        <f t="shared" si="524"/>
        <v>746304</v>
      </c>
      <c r="AB640" s="33"/>
      <c r="AC640" s="46">
        <f t="shared" si="525"/>
        <v>1.580177887312853E-2</v>
      </c>
      <c r="AD640" s="33"/>
      <c r="AE640" s="33">
        <f t="shared" si="526"/>
        <v>1182.7321711568939</v>
      </c>
      <c r="AF640" s="50"/>
      <c r="AG640" s="33"/>
      <c r="AH640" s="33"/>
      <c r="AI640" s="213"/>
      <c r="AJ640" s="50"/>
      <c r="AL640" s="23">
        <f t="shared" si="527"/>
        <v>72245</v>
      </c>
      <c r="AM640" s="24"/>
      <c r="AN640" s="24"/>
      <c r="AO640" s="24">
        <v>178263</v>
      </c>
      <c r="AP640" s="24">
        <v>39951693</v>
      </c>
      <c r="AQ640" s="24">
        <v>20336656</v>
      </c>
      <c r="AR640" s="461">
        <f t="shared" si="528"/>
        <v>1.8115847541320031E-3</v>
      </c>
      <c r="AS640" s="25"/>
      <c r="AT640" s="25"/>
      <c r="AU640" s="24"/>
      <c r="AV640" s="298">
        <f t="shared" si="529"/>
        <v>0.84591241423483854</v>
      </c>
      <c r="AW640" s="298"/>
      <c r="AX640" s="24">
        <f t="shared" si="530"/>
        <v>63314.885895404121</v>
      </c>
      <c r="AY640" s="308"/>
      <c r="BA640" s="65">
        <f t="shared" si="531"/>
        <v>2508466</v>
      </c>
      <c r="BB640" s="66"/>
      <c r="BC640" s="66">
        <v>772474927</v>
      </c>
      <c r="BD640" s="66"/>
      <c r="BE640" s="66">
        <f t="shared" si="532"/>
        <v>136839</v>
      </c>
      <c r="BF640" s="66"/>
      <c r="BG640" s="144">
        <f t="shared" si="533"/>
        <v>5.4550868937430289E-2</v>
      </c>
      <c r="BH640" s="66"/>
      <c r="BI640" s="170"/>
      <c r="BJ640" s="66"/>
      <c r="BK640" s="66"/>
      <c r="BL640" s="66"/>
      <c r="BM640" s="144"/>
      <c r="BN640" s="65">
        <f t="shared" si="534"/>
        <v>1224207.4912836768</v>
      </c>
      <c r="BO640" s="66"/>
      <c r="BP640" s="66">
        <f t="shared" si="535"/>
        <v>46322135</v>
      </c>
      <c r="BQ640" s="66"/>
      <c r="BR640" s="435">
        <f t="shared" si="536"/>
        <v>5.9965875112474684E-2</v>
      </c>
      <c r="BS640" s="66"/>
      <c r="BT640" s="75"/>
      <c r="BU640" s="170"/>
      <c r="BV640" s="1"/>
      <c r="BW640" s="61">
        <f t="shared" si="399"/>
        <v>631</v>
      </c>
    </row>
    <row r="641" spans="2:75" x14ac:dyDescent="0.3">
      <c r="B641" s="158">
        <f t="shared" si="537"/>
        <v>44541</v>
      </c>
      <c r="C641" s="61"/>
      <c r="D641" s="17">
        <v>57414</v>
      </c>
      <c r="E641" s="16"/>
      <c r="F641" s="16"/>
      <c r="G641" s="16"/>
      <c r="H641" s="16">
        <f t="shared" si="517"/>
        <v>47286527</v>
      </c>
      <c r="I641" s="16"/>
      <c r="J641" s="436">
        <f t="shared" si="518"/>
        <v>1.2156484920646297E-3</v>
      </c>
      <c r="K641" s="16"/>
      <c r="L641" s="16"/>
      <c r="M641" s="16"/>
      <c r="N641" s="16">
        <f t="shared" si="519"/>
        <v>667230</v>
      </c>
      <c r="O641" s="16">
        <f t="shared" si="520"/>
        <v>74820.454113924046</v>
      </c>
      <c r="P641" s="41"/>
      <c r="Q641" s="17">
        <f t="shared" si="521"/>
        <v>667230</v>
      </c>
      <c r="R641" s="16"/>
      <c r="S641" s="60">
        <f t="shared" si="522"/>
        <v>-8.6508117965490947E-2</v>
      </c>
      <c r="T641" s="16"/>
      <c r="U641" s="41"/>
      <c r="V641" s="10">
        <f t="shared" si="349"/>
        <v>533</v>
      </c>
      <c r="W641" s="34">
        <v>446</v>
      </c>
      <c r="X641" s="33">
        <v>4256</v>
      </c>
      <c r="Y641" s="33"/>
      <c r="Z641" s="33">
        <f t="shared" si="523"/>
        <v>6879</v>
      </c>
      <c r="AA641" s="33">
        <f t="shared" si="524"/>
        <v>746750</v>
      </c>
      <c r="AB641" s="33"/>
      <c r="AC641" s="46">
        <f t="shared" si="525"/>
        <v>1.5792024650065756E-2</v>
      </c>
      <c r="AD641" s="33"/>
      <c r="AE641" s="33">
        <f t="shared" si="526"/>
        <v>1181.5664556962026</v>
      </c>
      <c r="AF641" s="50"/>
      <c r="AG641" s="33"/>
      <c r="AH641" s="33"/>
      <c r="AI641" s="213"/>
      <c r="AJ641" s="50"/>
      <c r="AL641" s="23">
        <f t="shared" si="527"/>
        <v>34790</v>
      </c>
      <c r="AM641" s="24"/>
      <c r="AN641" s="24"/>
      <c r="AO641" s="24">
        <v>178263</v>
      </c>
      <c r="AP641" s="24">
        <v>39986483</v>
      </c>
      <c r="AQ641" s="24">
        <v>20336656</v>
      </c>
      <c r="AR641" s="461">
        <f t="shared" si="528"/>
        <v>8.7080164537708081E-4</v>
      </c>
      <c r="AS641" s="25"/>
      <c r="AT641" s="25"/>
      <c r="AU641" s="24"/>
      <c r="AV641" s="298">
        <f t="shared" si="529"/>
        <v>0.84562105819274902</v>
      </c>
      <c r="AW641" s="298"/>
      <c r="AX641" s="24">
        <f t="shared" si="530"/>
        <v>63269.751582278484</v>
      </c>
      <c r="AY641" s="308"/>
      <c r="BA641" s="65">
        <f t="shared" si="531"/>
        <v>825924</v>
      </c>
      <c r="BB641" s="66"/>
      <c r="BC641" s="66">
        <v>773300851</v>
      </c>
      <c r="BD641" s="66"/>
      <c r="BE641" s="66">
        <f t="shared" si="532"/>
        <v>57414</v>
      </c>
      <c r="BF641" s="66"/>
      <c r="BG641" s="144">
        <f t="shared" si="533"/>
        <v>6.9514870617635519E-2</v>
      </c>
      <c r="BH641" s="66"/>
      <c r="BI641" s="170"/>
      <c r="BJ641" s="66"/>
      <c r="BK641" s="66"/>
      <c r="BL641" s="66"/>
      <c r="BM641" s="144"/>
      <c r="BN641" s="65">
        <f t="shared" si="534"/>
        <v>1223577.2958860761</v>
      </c>
      <c r="BO641" s="66"/>
      <c r="BP641" s="66">
        <f t="shared" si="535"/>
        <v>46379549</v>
      </c>
      <c r="BQ641" s="66"/>
      <c r="BR641" s="435">
        <f t="shared" si="536"/>
        <v>5.9976073917446138E-2</v>
      </c>
      <c r="BS641" s="66"/>
      <c r="BT641" s="75"/>
      <c r="BU641" s="170"/>
      <c r="BV641" s="1"/>
      <c r="BW641" s="61">
        <f t="shared" si="399"/>
        <v>632</v>
      </c>
    </row>
    <row r="642" spans="2:75" x14ac:dyDescent="0.3">
      <c r="B642" s="347">
        <f t="shared" si="537"/>
        <v>44542</v>
      </c>
      <c r="C642" s="61"/>
      <c r="D642" s="17">
        <v>38784</v>
      </c>
      <c r="E642" s="16"/>
      <c r="F642" s="16"/>
      <c r="G642" s="16"/>
      <c r="H642" s="16">
        <f t="shared" si="517"/>
        <v>47325311</v>
      </c>
      <c r="I642" s="16"/>
      <c r="J642" s="436">
        <f t="shared" si="518"/>
        <v>8.2019134118265869E-4</v>
      </c>
      <c r="K642" s="16"/>
      <c r="L642" s="16"/>
      <c r="M642" s="16"/>
      <c r="N642" s="16">
        <f t="shared" si="519"/>
        <v>670949</v>
      </c>
      <c r="O642" s="16">
        <f t="shared" si="520"/>
        <v>74763.524486571885</v>
      </c>
      <c r="P642" s="41"/>
      <c r="Q642" s="17">
        <f t="shared" si="521"/>
        <v>670949</v>
      </c>
      <c r="R642" s="16"/>
      <c r="S642" s="60">
        <f t="shared" si="522"/>
        <v>-9.8970384625198249E-2</v>
      </c>
      <c r="T642" s="16"/>
      <c r="U642" s="41"/>
      <c r="V642" s="10">
        <f t="shared" si="349"/>
        <v>534</v>
      </c>
      <c r="W642" s="34">
        <v>167</v>
      </c>
      <c r="X642" s="33">
        <v>4256</v>
      </c>
      <c r="Y642" s="33"/>
      <c r="Z642" s="33">
        <f t="shared" si="523"/>
        <v>6321</v>
      </c>
      <c r="AA642" s="33">
        <f t="shared" si="524"/>
        <v>746917</v>
      </c>
      <c r="AB642" s="33"/>
      <c r="AC642" s="46">
        <f t="shared" si="525"/>
        <v>1.5782611550085746E-2</v>
      </c>
      <c r="AD642" s="33"/>
      <c r="AE642" s="33">
        <f t="shared" si="526"/>
        <v>1179.9636650868879</v>
      </c>
      <c r="AF642" s="50"/>
      <c r="AG642" s="33"/>
      <c r="AH642" s="33"/>
      <c r="AI642" s="213"/>
      <c r="AJ642" s="50"/>
      <c r="AL642" s="23">
        <f t="shared" si="527"/>
        <v>17191</v>
      </c>
      <c r="AM642" s="24"/>
      <c r="AN642" s="24"/>
      <c r="AO642" s="24">
        <v>178263</v>
      </c>
      <c r="AP642" s="24">
        <v>40003674</v>
      </c>
      <c r="AQ642" s="24">
        <v>20336656</v>
      </c>
      <c r="AR642" s="461">
        <f t="shared" si="528"/>
        <v>4.2992028081089302E-4</v>
      </c>
      <c r="AS642" s="25"/>
      <c r="AT642" s="25"/>
      <c r="AU642" s="24"/>
      <c r="AV642" s="298">
        <f t="shared" si="529"/>
        <v>0.84529130722458434</v>
      </c>
      <c r="AW642" s="298"/>
      <c r="AX642" s="24">
        <f t="shared" si="530"/>
        <v>63196.957345971561</v>
      </c>
      <c r="AY642" s="308"/>
      <c r="BA642" s="65">
        <f t="shared" si="531"/>
        <v>432813</v>
      </c>
      <c r="BB642" s="66"/>
      <c r="BC642" s="66">
        <v>773733664</v>
      </c>
      <c r="BD642" s="66"/>
      <c r="BE642" s="66">
        <f t="shared" si="532"/>
        <v>38784</v>
      </c>
      <c r="BF642" s="66"/>
      <c r="BG642" s="144">
        <f t="shared" si="533"/>
        <v>8.9609138357674104E-2</v>
      </c>
      <c r="BH642" s="66"/>
      <c r="BI642" s="170"/>
      <c r="BJ642" s="66"/>
      <c r="BK642" s="66"/>
      <c r="BL642" s="66"/>
      <c r="BM642" s="144"/>
      <c r="BN642" s="65">
        <f t="shared" si="534"/>
        <v>1222328.0631911533</v>
      </c>
      <c r="BO642" s="66"/>
      <c r="BP642" s="66">
        <f t="shared" si="535"/>
        <v>46418333</v>
      </c>
      <c r="BQ642" s="66"/>
      <c r="BR642" s="435">
        <f t="shared" si="536"/>
        <v>5.999265013238457E-2</v>
      </c>
      <c r="BS642" s="66"/>
      <c r="BT642" s="75"/>
      <c r="BU642" s="170"/>
      <c r="BV642" s="1"/>
      <c r="BW642" s="61">
        <f t="shared" si="399"/>
        <v>633</v>
      </c>
    </row>
    <row r="643" spans="2:75" x14ac:dyDescent="0.3">
      <c r="B643" s="158">
        <f t="shared" si="537"/>
        <v>44543</v>
      </c>
      <c r="C643" s="61"/>
      <c r="D643" s="17">
        <v>95343</v>
      </c>
      <c r="E643" s="16"/>
      <c r="F643" s="16"/>
      <c r="G643" s="16"/>
      <c r="H643" s="16">
        <f t="shared" si="517"/>
        <v>47420654</v>
      </c>
      <c r="I643" s="16"/>
      <c r="J643" s="436">
        <f t="shared" si="518"/>
        <v>2.0146301838354533E-3</v>
      </c>
      <c r="K643" s="16"/>
      <c r="L643" s="16"/>
      <c r="M643" s="16"/>
      <c r="N643" s="16">
        <f t="shared" si="519"/>
        <v>674327</v>
      </c>
      <c r="O643" s="16">
        <f t="shared" si="520"/>
        <v>74795.984227129331</v>
      </c>
      <c r="P643" s="41"/>
      <c r="Q643" s="17">
        <f t="shared" si="521"/>
        <v>674327</v>
      </c>
      <c r="R643" s="16"/>
      <c r="S643" s="60">
        <f t="shared" si="522"/>
        <v>-7.5930199414582802E-2</v>
      </c>
      <c r="T643" s="16"/>
      <c r="U643" s="41"/>
      <c r="V643" s="10">
        <f t="shared" si="349"/>
        <v>535</v>
      </c>
      <c r="W643" s="34">
        <v>549</v>
      </c>
      <c r="X643" s="33">
        <v>4256</v>
      </c>
      <c r="Y643" s="33"/>
      <c r="Z643" s="33">
        <f t="shared" si="523"/>
        <v>5148</v>
      </c>
      <c r="AA643" s="33">
        <f t="shared" si="524"/>
        <v>747466</v>
      </c>
      <c r="AB643" s="33"/>
      <c r="AC643" s="46">
        <f t="shared" si="525"/>
        <v>1.5762456586954705E-2</v>
      </c>
      <c r="AD643" s="33"/>
      <c r="AE643" s="33">
        <f t="shared" si="526"/>
        <v>1178.9684542586751</v>
      </c>
      <c r="AF643" s="50"/>
      <c r="AG643" s="33"/>
      <c r="AH643" s="33"/>
      <c r="AI643" s="213"/>
      <c r="AJ643" s="50"/>
      <c r="AL643" s="23">
        <f t="shared" si="527"/>
        <v>151026</v>
      </c>
      <c r="AM643" s="24"/>
      <c r="AN643" s="24"/>
      <c r="AO643" s="24">
        <v>178263</v>
      </c>
      <c r="AP643" s="24">
        <v>40154700</v>
      </c>
      <c r="AQ643" s="24">
        <v>20336656</v>
      </c>
      <c r="AR643" s="461">
        <f t="shared" si="528"/>
        <v>3.7753032383975533E-3</v>
      </c>
      <c r="AS643" s="25"/>
      <c r="AT643" s="25"/>
      <c r="AU643" s="24"/>
      <c r="AV643" s="298">
        <f t="shared" si="529"/>
        <v>0.84677659654377602</v>
      </c>
      <c r="AW643" s="298"/>
      <c r="AX643" s="24">
        <f t="shared" si="530"/>
        <v>63335.488958990536</v>
      </c>
      <c r="AY643" s="308"/>
      <c r="BA643" s="65">
        <f t="shared" si="531"/>
        <v>4327383</v>
      </c>
      <c r="BB643" s="66"/>
      <c r="BC643" s="66">
        <v>778061047</v>
      </c>
      <c r="BD643" s="66"/>
      <c r="BE643" s="66">
        <f t="shared" si="532"/>
        <v>95343</v>
      </c>
      <c r="BF643" s="66"/>
      <c r="BG643" s="144">
        <f t="shared" si="533"/>
        <v>2.2032484760419867E-2</v>
      </c>
      <c r="BH643" s="66"/>
      <c r="BI643" s="170"/>
      <c r="BJ643" s="66"/>
      <c r="BK643" s="66"/>
      <c r="BL643" s="66"/>
      <c r="BM643" s="144"/>
      <c r="BN643" s="65">
        <f t="shared" si="534"/>
        <v>1227225.6261829652</v>
      </c>
      <c r="BO643" s="66"/>
      <c r="BP643" s="66">
        <f t="shared" si="535"/>
        <v>46513676</v>
      </c>
      <c r="BQ643" s="66"/>
      <c r="BR643" s="435">
        <f t="shared" si="536"/>
        <v>5.9781525086424231E-2</v>
      </c>
      <c r="BS643" s="66"/>
      <c r="BT643" s="75"/>
      <c r="BU643" s="170"/>
      <c r="BV643" s="1"/>
      <c r="BW643" s="61">
        <f t="shared" si="399"/>
        <v>634</v>
      </c>
    </row>
    <row r="644" spans="2:75" x14ac:dyDescent="0.3">
      <c r="B644" s="158">
        <f t="shared" si="537"/>
        <v>44544</v>
      </c>
      <c r="C644" s="61"/>
      <c r="D644" s="17">
        <v>108566</v>
      </c>
      <c r="E644" s="16"/>
      <c r="F644" s="16"/>
      <c r="G644" s="16"/>
      <c r="H644" s="16">
        <f t="shared" si="517"/>
        <v>47529220</v>
      </c>
      <c r="I644" s="16"/>
      <c r="J644" s="436">
        <f t="shared" si="518"/>
        <v>2.2894243508324451E-3</v>
      </c>
      <c r="K644" s="16"/>
      <c r="L644" s="16"/>
      <c r="M644" s="16"/>
      <c r="N644" s="16">
        <f t="shared" si="519"/>
        <v>675251</v>
      </c>
      <c r="O644" s="16">
        <f t="shared" si="520"/>
        <v>74849.165354330704</v>
      </c>
      <c r="P644" s="41"/>
      <c r="Q644" s="17">
        <f t="shared" si="521"/>
        <v>675251</v>
      </c>
      <c r="R644" s="16"/>
      <c r="S644" s="60">
        <f t="shared" si="522"/>
        <v>-5.8122245159850469E-2</v>
      </c>
      <c r="T644" s="16"/>
      <c r="U644" s="41"/>
      <c r="V644" s="10">
        <f t="shared" si="349"/>
        <v>536</v>
      </c>
      <c r="W644" s="34">
        <v>1598</v>
      </c>
      <c r="X644" s="33">
        <v>4256</v>
      </c>
      <c r="Y644" s="33"/>
      <c r="Z644" s="33">
        <f t="shared" si="523"/>
        <v>5422</v>
      </c>
      <c r="AA644" s="33">
        <f t="shared" si="524"/>
        <v>749064</v>
      </c>
      <c r="AB644" s="33"/>
      <c r="AC644" s="46">
        <f t="shared" si="525"/>
        <v>1.5760073487425211E-2</v>
      </c>
      <c r="AD644" s="33"/>
      <c r="AE644" s="33">
        <f t="shared" si="526"/>
        <v>1179.628346456693</v>
      </c>
      <c r="AF644" s="50"/>
      <c r="AG644" s="33"/>
      <c r="AH644" s="33"/>
      <c r="AI644" s="213"/>
      <c r="AJ644" s="50"/>
      <c r="AL644" s="23">
        <f t="shared" si="527"/>
        <v>84813</v>
      </c>
      <c r="AM644" s="24"/>
      <c r="AN644" s="24"/>
      <c r="AO644" s="24">
        <v>178263</v>
      </c>
      <c r="AP644" s="24">
        <v>40239513</v>
      </c>
      <c r="AQ644" s="24">
        <v>20336656</v>
      </c>
      <c r="AR644" s="461">
        <f t="shared" si="528"/>
        <v>2.1121562357582051E-3</v>
      </c>
      <c r="AS644" s="25"/>
      <c r="AT644" s="25"/>
      <c r="AU644" s="24"/>
      <c r="AV644" s="298">
        <f t="shared" si="529"/>
        <v>0.84662683292509322</v>
      </c>
      <c r="AW644" s="298"/>
      <c r="AX644" s="24">
        <f t="shared" si="530"/>
        <v>63369.311811023625</v>
      </c>
      <c r="AY644" s="308"/>
      <c r="BA644" s="65">
        <f t="shared" si="531"/>
        <v>1525244</v>
      </c>
      <c r="BB644" s="66"/>
      <c r="BC644" s="66">
        <v>779586291</v>
      </c>
      <c r="BD644" s="66"/>
      <c r="BE644" s="66">
        <f t="shared" si="532"/>
        <v>108566</v>
      </c>
      <c r="BF644" s="66"/>
      <c r="BG644" s="144">
        <f t="shared" si="533"/>
        <v>7.117943096317704E-2</v>
      </c>
      <c r="BH644" s="66"/>
      <c r="BI644" s="170"/>
      <c r="BJ644" s="66"/>
      <c r="BK644" s="66"/>
      <c r="BL644" s="66"/>
      <c r="BM644" s="144"/>
      <c r="BN644" s="65">
        <f t="shared" si="534"/>
        <v>1227694.9464566929</v>
      </c>
      <c r="BO644" s="66"/>
      <c r="BP644" s="66">
        <f t="shared" si="535"/>
        <v>46622242</v>
      </c>
      <c r="BQ644" s="66"/>
      <c r="BR644" s="435">
        <f t="shared" si="536"/>
        <v>5.980382484688921E-2</v>
      </c>
      <c r="BS644" s="66"/>
      <c r="BT644" s="75"/>
      <c r="BU644" s="170"/>
      <c r="BV644" s="1"/>
      <c r="BW644" s="61">
        <f t="shared" si="399"/>
        <v>635</v>
      </c>
    </row>
    <row r="645" spans="2:75" x14ac:dyDescent="0.3">
      <c r="B645" s="158">
        <f t="shared" si="537"/>
        <v>44545</v>
      </c>
      <c r="C645" s="61"/>
      <c r="D645" s="17">
        <v>136590</v>
      </c>
      <c r="E645" s="16"/>
      <c r="F645" s="16"/>
      <c r="G645" s="16"/>
      <c r="H645" s="16">
        <f t="shared" si="517"/>
        <v>47665810</v>
      </c>
      <c r="I645" s="16"/>
      <c r="J645" s="436">
        <f t="shared" si="518"/>
        <v>2.8738110997824076E-3</v>
      </c>
      <c r="K645" s="16"/>
      <c r="L645" s="16"/>
      <c r="M645" s="16"/>
      <c r="N645" s="16">
        <f t="shared" si="519"/>
        <v>684430</v>
      </c>
      <c r="O645" s="16">
        <f t="shared" si="520"/>
        <v>74946.242138364774</v>
      </c>
      <c r="P645" s="41"/>
      <c r="Q645" s="17">
        <f t="shared" si="521"/>
        <v>684430</v>
      </c>
      <c r="R645" s="16"/>
      <c r="S645" s="60">
        <f t="shared" si="522"/>
        <v>-3.9896418847168699E-2</v>
      </c>
      <c r="T645" s="16"/>
      <c r="U645" s="41"/>
      <c r="V645" s="10">
        <f t="shared" si="349"/>
        <v>537</v>
      </c>
      <c r="W645" s="34">
        <v>1690</v>
      </c>
      <c r="X645" s="33">
        <v>4256</v>
      </c>
      <c r="Y645" s="33"/>
      <c r="Z645" s="33">
        <f t="shared" si="523"/>
        <v>6024</v>
      </c>
      <c r="AA645" s="33">
        <f t="shared" si="524"/>
        <v>750754</v>
      </c>
      <c r="AB645" s="33"/>
      <c r="AC645" s="46">
        <f t="shared" si="525"/>
        <v>1.5750366982119887E-2</v>
      </c>
      <c r="AD645" s="33"/>
      <c r="AE645" s="33">
        <f t="shared" si="526"/>
        <v>1180.4308176100628</v>
      </c>
      <c r="AF645" s="50"/>
      <c r="AG645" s="33"/>
      <c r="AH645" s="33"/>
      <c r="AI645" s="213"/>
      <c r="AJ645" s="50"/>
      <c r="AL645" s="23">
        <f t="shared" si="527"/>
        <v>104048</v>
      </c>
      <c r="AM645" s="24"/>
      <c r="AN645" s="24"/>
      <c r="AO645" s="24">
        <v>178263</v>
      </c>
      <c r="AP645" s="24">
        <v>40343561</v>
      </c>
      <c r="AQ645" s="24">
        <v>20336656</v>
      </c>
      <c r="AR645" s="461">
        <f t="shared" si="528"/>
        <v>2.5857171780384121E-3</v>
      </c>
      <c r="AS645" s="25"/>
      <c r="AT645" s="25"/>
      <c r="AU645" s="24"/>
      <c r="AV645" s="298">
        <f t="shared" si="529"/>
        <v>0.84638362381757493</v>
      </c>
      <c r="AW645" s="298"/>
      <c r="AX645" s="24">
        <f t="shared" si="530"/>
        <v>63433.272012578615</v>
      </c>
      <c r="AY645" s="308"/>
      <c r="BA645" s="65">
        <f t="shared" si="531"/>
        <v>1779795</v>
      </c>
      <c r="BB645" s="66"/>
      <c r="BC645" s="66">
        <v>781366086</v>
      </c>
      <c r="BD645" s="66"/>
      <c r="BE645" s="66">
        <f t="shared" si="532"/>
        <v>136590</v>
      </c>
      <c r="BF645" s="66"/>
      <c r="BG645" s="144">
        <f t="shared" si="533"/>
        <v>7.674479364196439E-2</v>
      </c>
      <c r="BH645" s="66"/>
      <c r="BI645" s="170"/>
      <c r="BJ645" s="66"/>
      <c r="BK645" s="66"/>
      <c r="BL645" s="66"/>
      <c r="BM645" s="144"/>
      <c r="BN645" s="65">
        <f t="shared" si="534"/>
        <v>1228563.0283018867</v>
      </c>
      <c r="BO645" s="66"/>
      <c r="BP645" s="66">
        <f t="shared" si="535"/>
        <v>46758832</v>
      </c>
      <c r="BQ645" s="66"/>
      <c r="BR645" s="435">
        <f t="shared" si="536"/>
        <v>5.9842412971069237E-2</v>
      </c>
      <c r="BS645" s="66"/>
      <c r="BT645" s="75"/>
      <c r="BU645" s="170"/>
      <c r="BV645" s="1"/>
      <c r="BW645" s="61">
        <f t="shared" si="399"/>
        <v>636</v>
      </c>
    </row>
    <row r="646" spans="2:75" x14ac:dyDescent="0.3">
      <c r="B646" s="158">
        <f t="shared" si="537"/>
        <v>44546</v>
      </c>
      <c r="C646" s="61"/>
      <c r="D646" s="17">
        <v>155795</v>
      </c>
      <c r="E646" s="16"/>
      <c r="F646" s="16"/>
      <c r="G646" s="16"/>
      <c r="H646" s="16">
        <f t="shared" si="517"/>
        <v>47821605</v>
      </c>
      <c r="I646" s="16"/>
      <c r="J646" s="436">
        <f t="shared" si="518"/>
        <v>3.268485314736076E-3</v>
      </c>
      <c r="K646" s="16"/>
      <c r="L646" s="16"/>
      <c r="M646" s="16"/>
      <c r="N646" s="16">
        <f t="shared" si="519"/>
        <v>729331</v>
      </c>
      <c r="O646" s="16">
        <f t="shared" si="520"/>
        <v>75073.163265306124</v>
      </c>
      <c r="P646" s="41"/>
      <c r="Q646" s="17">
        <f t="shared" si="521"/>
        <v>729331</v>
      </c>
      <c r="R646" s="16"/>
      <c r="S646" s="60">
        <f t="shared" si="522"/>
        <v>7.7054963944632904E-2</v>
      </c>
      <c r="T646" s="16"/>
      <c r="U646" s="41"/>
      <c r="V646" s="10">
        <f t="shared" si="349"/>
        <v>538</v>
      </c>
      <c r="W646" s="34">
        <v>1324</v>
      </c>
      <c r="X646" s="33">
        <v>4256</v>
      </c>
      <c r="Y646" s="33"/>
      <c r="Z646" s="33">
        <f t="shared" si="523"/>
        <v>5774</v>
      </c>
      <c r="AA646" s="33">
        <f t="shared" si="524"/>
        <v>752078</v>
      </c>
      <c r="AB646" s="33"/>
      <c r="AC646" s="46">
        <f t="shared" si="525"/>
        <v>1.5726741082822293E-2</v>
      </c>
      <c r="AD646" s="33"/>
      <c r="AE646" s="33">
        <f t="shared" si="526"/>
        <v>1180.6562009419151</v>
      </c>
      <c r="AF646" s="50"/>
      <c r="AG646" s="33"/>
      <c r="AH646" s="33"/>
      <c r="AI646" s="213"/>
      <c r="AJ646" s="50"/>
      <c r="AL646" s="23">
        <f t="shared" si="527"/>
        <v>64241</v>
      </c>
      <c r="AM646" s="24"/>
      <c r="AN646" s="24"/>
      <c r="AO646" s="24">
        <v>178263</v>
      </c>
      <c r="AP646" s="24">
        <v>40407802</v>
      </c>
      <c r="AQ646" s="24">
        <v>20336656</v>
      </c>
      <c r="AR646" s="461">
        <f t="shared" si="528"/>
        <v>1.5923482808074378E-3</v>
      </c>
      <c r="AS646" s="25"/>
      <c r="AT646" s="25"/>
      <c r="AU646" s="24"/>
      <c r="AV646" s="298">
        <f t="shared" si="529"/>
        <v>0.84496959062749988</v>
      </c>
      <c r="AW646" s="298"/>
      <c r="AX646" s="24">
        <f t="shared" si="530"/>
        <v>63434.540031397177</v>
      </c>
      <c r="AY646" s="308"/>
      <c r="BA646" s="65">
        <f t="shared" si="531"/>
        <v>1886361</v>
      </c>
      <c r="BB646" s="66"/>
      <c r="BC646" s="66">
        <v>783252447</v>
      </c>
      <c r="BD646" s="66"/>
      <c r="BE646" s="66">
        <f t="shared" si="532"/>
        <v>155795</v>
      </c>
      <c r="BF646" s="66"/>
      <c r="BG646" s="144">
        <f t="shared" si="533"/>
        <v>8.2590235909245371E-2</v>
      </c>
      <c r="BH646" s="66"/>
      <c r="BI646" s="170"/>
      <c r="BJ646" s="66"/>
      <c r="BK646" s="66"/>
      <c r="BL646" s="66"/>
      <c r="BM646" s="144"/>
      <c r="BN646" s="65">
        <f t="shared" si="534"/>
        <v>1229595.6781789639</v>
      </c>
      <c r="BO646" s="66"/>
      <c r="BP646" s="66">
        <f t="shared" si="535"/>
        <v>46914627</v>
      </c>
      <c r="BQ646" s="66"/>
      <c r="BR646" s="435">
        <f t="shared" si="536"/>
        <v>5.9897198125191432E-2</v>
      </c>
      <c r="BS646" s="66"/>
      <c r="BT646" s="75"/>
      <c r="BU646" s="170"/>
      <c r="BV646" s="1"/>
      <c r="BW646" s="61">
        <f t="shared" si="399"/>
        <v>637</v>
      </c>
    </row>
    <row r="647" spans="2:75" x14ac:dyDescent="0.3">
      <c r="B647" s="158">
        <f t="shared" si="537"/>
        <v>44547</v>
      </c>
      <c r="C647" s="61"/>
      <c r="D647" s="17">
        <v>163707</v>
      </c>
      <c r="E647" s="16"/>
      <c r="F647" s="16"/>
      <c r="G647" s="16"/>
      <c r="H647" s="16">
        <f t="shared" si="517"/>
        <v>47985312</v>
      </c>
      <c r="I647" s="16"/>
      <c r="J647" s="436">
        <f t="shared" si="518"/>
        <v>3.4232853539733765E-3</v>
      </c>
      <c r="K647" s="16"/>
      <c r="L647" s="16"/>
      <c r="M647" s="16"/>
      <c r="N647" s="16">
        <f t="shared" si="519"/>
        <v>756199</v>
      </c>
      <c r="O647" s="16">
        <f t="shared" si="520"/>
        <v>75212.087774294676</v>
      </c>
      <c r="P647" s="41"/>
      <c r="Q647" s="17">
        <f t="shared" si="521"/>
        <v>756199</v>
      </c>
      <c r="R647" s="16"/>
      <c r="S647" s="60">
        <f t="shared" si="522"/>
        <v>0.13448342079759001</v>
      </c>
      <c r="T647" s="16"/>
      <c r="U647" s="41"/>
      <c r="V647" s="10">
        <f t="shared" si="349"/>
        <v>539</v>
      </c>
      <c r="W647" s="34">
        <v>1653</v>
      </c>
      <c r="X647" s="33">
        <v>4256</v>
      </c>
      <c r="Y647" s="33"/>
      <c r="Z647" s="33">
        <f t="shared" si="523"/>
        <v>6981</v>
      </c>
      <c r="AA647" s="33">
        <f t="shared" si="524"/>
        <v>753731</v>
      </c>
      <c r="AB647" s="33"/>
      <c r="AC647" s="46">
        <f t="shared" si="525"/>
        <v>1.5707535672582477E-2</v>
      </c>
      <c r="AD647" s="33"/>
      <c r="AE647" s="33">
        <f t="shared" si="526"/>
        <v>1181.3965517241379</v>
      </c>
      <c r="AF647" s="50"/>
      <c r="AG647" s="33"/>
      <c r="AH647" s="33"/>
      <c r="AI647" s="213"/>
      <c r="AJ647" s="50"/>
      <c r="AL647" s="23">
        <f t="shared" si="527"/>
        <v>66544</v>
      </c>
      <c r="AM647" s="24"/>
      <c r="AN647" s="24"/>
      <c r="AO647" s="24">
        <v>178263</v>
      </c>
      <c r="AP647" s="24">
        <v>40474346</v>
      </c>
      <c r="AQ647" s="24">
        <v>20336656</v>
      </c>
      <c r="AR647" s="461">
        <f t="shared" si="528"/>
        <v>1.6468106827488415E-3</v>
      </c>
      <c r="AS647" s="25"/>
      <c r="AT647" s="25"/>
      <c r="AU647" s="24"/>
      <c r="AV647" s="298">
        <f t="shared" si="529"/>
        <v>0.84347364460191487</v>
      </c>
      <c r="AW647" s="298"/>
      <c r="AX647" s="24">
        <f t="shared" si="530"/>
        <v>63439.413793103449</v>
      </c>
      <c r="AY647" s="308"/>
      <c r="BA647" s="65">
        <f t="shared" si="531"/>
        <v>2048448</v>
      </c>
      <c r="BB647" s="66"/>
      <c r="BC647" s="66">
        <v>785300895</v>
      </c>
      <c r="BD647" s="66"/>
      <c r="BE647" s="66">
        <f t="shared" si="532"/>
        <v>163707</v>
      </c>
      <c r="BF647" s="66"/>
      <c r="BG647" s="144">
        <f t="shared" si="533"/>
        <v>7.9917576623863534E-2</v>
      </c>
      <c r="BH647" s="66"/>
      <c r="BI647" s="170"/>
      <c r="BJ647" s="66"/>
      <c r="BK647" s="66"/>
      <c r="BL647" s="66"/>
      <c r="BM647" s="144"/>
      <c r="BN647" s="65">
        <f t="shared" si="534"/>
        <v>1230879.1457680252</v>
      </c>
      <c r="BO647" s="66"/>
      <c r="BP647" s="66">
        <f t="shared" si="535"/>
        <v>47078334</v>
      </c>
      <c r="BQ647" s="66"/>
      <c r="BR647" s="435">
        <f t="shared" si="536"/>
        <v>5.994942104325502E-2</v>
      </c>
      <c r="BS647" s="66"/>
      <c r="BT647" s="75"/>
      <c r="BU647" s="170"/>
      <c r="BV647" s="1"/>
      <c r="BW647" s="61">
        <f t="shared" si="399"/>
        <v>638</v>
      </c>
    </row>
    <row r="648" spans="2:75" x14ac:dyDescent="0.3">
      <c r="B648" s="158">
        <f t="shared" si="537"/>
        <v>44548</v>
      </c>
      <c r="C648" s="61"/>
      <c r="D648" s="17">
        <v>85924</v>
      </c>
      <c r="E648" s="16"/>
      <c r="F648" s="16"/>
      <c r="G648" s="16"/>
      <c r="H648" s="16">
        <f t="shared" ref="H648:H677" si="538">+H647+D648</f>
        <v>48071236</v>
      </c>
      <c r="I648" s="16"/>
      <c r="J648" s="436">
        <f t="shared" ref="J648:J677" si="539">+D648/H647</f>
        <v>1.7906312665008826E-3</v>
      </c>
      <c r="K648" s="16"/>
      <c r="L648" s="16"/>
      <c r="M648" s="16"/>
      <c r="N648" s="16">
        <f t="shared" ref="N648:N677" si="540">SUM(D642:D648)</f>
        <v>784709</v>
      </c>
      <c r="O648" s="16">
        <f t="shared" ref="O648:O677" si="541">+H648/BW648</f>
        <v>75228.851330203441</v>
      </c>
      <c r="P648" s="41"/>
      <c r="Q648" s="17">
        <f t="shared" ref="Q648:Q677" si="542">SUM(D642:D648)</f>
        <v>784709</v>
      </c>
      <c r="R648" s="16"/>
      <c r="S648" s="60">
        <f t="shared" ref="S648:S677" si="543">+(Q648-Q641)/Q641</f>
        <v>0.17606972108568258</v>
      </c>
      <c r="T648" s="16"/>
      <c r="U648" s="41"/>
      <c r="V648" s="10">
        <f t="shared" si="349"/>
        <v>540</v>
      </c>
      <c r="W648" s="34">
        <v>487</v>
      </c>
      <c r="X648" s="33">
        <v>4256</v>
      </c>
      <c r="Y648" s="33"/>
      <c r="Z648" s="33">
        <f t="shared" ref="Z648:Z677" si="544">SUM(W643:W648)</f>
        <v>7301</v>
      </c>
      <c r="AA648" s="33">
        <f t="shared" ref="AA648:AA677" si="545">+AA647+W648</f>
        <v>754218</v>
      </c>
      <c r="AB648" s="33"/>
      <c r="AC648" s="46">
        <f t="shared" ref="AC648:AC677" si="546">+AA648/H648</f>
        <v>1.5689590340468882E-2</v>
      </c>
      <c r="AD648" s="33"/>
      <c r="AE648" s="33">
        <f t="shared" ref="AE648:AE677" si="547">+AA648/BW648</f>
        <v>1180.3098591549297</v>
      </c>
      <c r="AF648" s="50"/>
      <c r="AG648" s="33"/>
      <c r="AH648" s="33"/>
      <c r="AI648" s="213"/>
      <c r="AJ648" s="50"/>
      <c r="AL648" s="23">
        <f t="shared" ref="AL648:AL677" si="548">+AP648-AP647</f>
        <v>40799</v>
      </c>
      <c r="AM648" s="24"/>
      <c r="AN648" s="24"/>
      <c r="AO648" s="24">
        <v>178263</v>
      </c>
      <c r="AP648" s="24">
        <v>40515145</v>
      </c>
      <c r="AQ648" s="24">
        <v>20336656</v>
      </c>
      <c r="AR648" s="461">
        <f t="shared" ref="AR648:AR677" si="549">+AL648/AP647</f>
        <v>1.0080212290521013E-3</v>
      </c>
      <c r="AS648" s="25"/>
      <c r="AT648" s="25"/>
      <c r="AU648" s="24"/>
      <c r="AV648" s="298">
        <f t="shared" ref="AV648:AV677" si="550">+AP648/H648</f>
        <v>0.84281471356384507</v>
      </c>
      <c r="AW648" s="298"/>
      <c r="AX648" s="24">
        <f t="shared" ref="AX648:AX677" si="551">+AP648/BW648</f>
        <v>63403.9827856025</v>
      </c>
      <c r="AY648" s="308"/>
      <c r="BA648" s="65">
        <f t="shared" ref="BA648:BA677" si="552">+BC648-BC647</f>
        <v>651477</v>
      </c>
      <c r="BB648" s="66"/>
      <c r="BC648" s="66">
        <v>785952372</v>
      </c>
      <c r="BD648" s="66"/>
      <c r="BE648" s="66">
        <f t="shared" ref="BE648:BE677" si="553">+D648</f>
        <v>85924</v>
      </c>
      <c r="BF648" s="66"/>
      <c r="BG648" s="144">
        <f t="shared" ref="BG648:BG677" si="554">+BE648/BA648</f>
        <v>0.13189107213301468</v>
      </c>
      <c r="BH648" s="66"/>
      <c r="BI648" s="170"/>
      <c r="BJ648" s="66"/>
      <c r="BK648" s="66"/>
      <c r="BL648" s="66"/>
      <c r="BM648" s="144"/>
      <c r="BN648" s="65">
        <f t="shared" ref="BN648:BN677" si="555">+BC648/BW648</f>
        <v>1229972.4131455398</v>
      </c>
      <c r="BO648" s="66"/>
      <c r="BP648" s="66">
        <f t="shared" ref="BP648:BP677" si="556">+BP647+BE648</f>
        <v>47164258</v>
      </c>
      <c r="BQ648" s="66"/>
      <c r="BR648" s="435">
        <f t="shared" ref="BR648:BR677" si="557">+BP648/BC648</f>
        <v>6.0009053576595098E-2</v>
      </c>
      <c r="BS648" s="66"/>
      <c r="BT648" s="75"/>
      <c r="BU648" s="170"/>
      <c r="BV648" s="1"/>
      <c r="BW648" s="61">
        <f t="shared" si="399"/>
        <v>639</v>
      </c>
    </row>
    <row r="649" spans="2:75" x14ac:dyDescent="0.3">
      <c r="B649" s="347">
        <f t="shared" si="537"/>
        <v>44549</v>
      </c>
      <c r="C649" s="61"/>
      <c r="D649" s="17">
        <v>66751</v>
      </c>
      <c r="E649" s="16"/>
      <c r="F649" s="16"/>
      <c r="G649" s="16"/>
      <c r="H649" s="16">
        <f t="shared" si="538"/>
        <v>48137987</v>
      </c>
      <c r="I649" s="16"/>
      <c r="J649" s="436">
        <f t="shared" si="539"/>
        <v>1.3885850573927411E-3</v>
      </c>
      <c r="K649" s="16"/>
      <c r="L649" s="16"/>
      <c r="M649" s="16"/>
      <c r="N649" s="16">
        <f t="shared" si="540"/>
        <v>812676</v>
      </c>
      <c r="O649" s="16">
        <f t="shared" si="541"/>
        <v>75215.604687500003</v>
      </c>
      <c r="P649" s="41"/>
      <c r="Q649" s="17">
        <f t="shared" si="542"/>
        <v>812676</v>
      </c>
      <c r="R649" s="16"/>
      <c r="S649" s="60">
        <f t="shared" si="543"/>
        <v>0.21123364070890635</v>
      </c>
      <c r="T649" s="16"/>
      <c r="U649" s="41"/>
      <c r="V649" s="10">
        <f t="shared" si="349"/>
        <v>541</v>
      </c>
      <c r="W649" s="34">
        <v>109</v>
      </c>
      <c r="X649" s="33">
        <v>4256</v>
      </c>
      <c r="Y649" s="33"/>
      <c r="Z649" s="33">
        <f t="shared" si="544"/>
        <v>6861</v>
      </c>
      <c r="AA649" s="33">
        <f t="shared" si="545"/>
        <v>754327</v>
      </c>
      <c r="AB649" s="33"/>
      <c r="AC649" s="46">
        <f t="shared" si="546"/>
        <v>1.5670098544004342E-2</v>
      </c>
      <c r="AD649" s="33"/>
      <c r="AE649" s="33">
        <f t="shared" si="547"/>
        <v>1178.6359375</v>
      </c>
      <c r="AF649" s="50"/>
      <c r="AG649" s="33"/>
      <c r="AH649" s="33"/>
      <c r="AI649" s="213"/>
      <c r="AJ649" s="50"/>
      <c r="AL649" s="23">
        <f t="shared" si="548"/>
        <v>24730</v>
      </c>
      <c r="AM649" s="24"/>
      <c r="AN649" s="24"/>
      <c r="AO649" s="24">
        <v>178263</v>
      </c>
      <c r="AP649" s="24">
        <v>40539875</v>
      </c>
      <c r="AQ649" s="24">
        <v>20336656</v>
      </c>
      <c r="AR649" s="461">
        <f t="shared" si="549"/>
        <v>6.1038902859659029E-4</v>
      </c>
      <c r="AS649" s="25"/>
      <c r="AT649" s="25"/>
      <c r="AU649" s="24"/>
      <c r="AV649" s="298">
        <f t="shared" si="550"/>
        <v>0.84215974797616688</v>
      </c>
      <c r="AW649" s="298"/>
      <c r="AX649" s="24">
        <f t="shared" si="551"/>
        <v>63343.5546875</v>
      </c>
      <c r="AY649" s="308"/>
      <c r="BA649" s="65">
        <f t="shared" si="552"/>
        <v>525957</v>
      </c>
      <c r="BB649" s="66"/>
      <c r="BC649" s="66">
        <v>786478329</v>
      </c>
      <c r="BD649" s="66"/>
      <c r="BE649" s="66">
        <f t="shared" si="553"/>
        <v>66751</v>
      </c>
      <c r="BF649" s="66"/>
      <c r="BG649" s="144">
        <f t="shared" si="554"/>
        <v>0.12691341687628457</v>
      </c>
      <c r="BH649" s="66"/>
      <c r="BI649" s="170"/>
      <c r="BJ649" s="66"/>
      <c r="BK649" s="66"/>
      <c r="BL649" s="66"/>
      <c r="BM649" s="144"/>
      <c r="BN649" s="65">
        <f t="shared" si="555"/>
        <v>1228872.3890625001</v>
      </c>
      <c r="BO649" s="66"/>
      <c r="BP649" s="66">
        <f t="shared" si="556"/>
        <v>47231009</v>
      </c>
      <c r="BQ649" s="66"/>
      <c r="BR649" s="435">
        <f t="shared" si="557"/>
        <v>6.005379583701155E-2</v>
      </c>
      <c r="BS649" s="66"/>
      <c r="BT649" s="75"/>
      <c r="BU649" s="170"/>
      <c r="BV649" s="1"/>
      <c r="BW649" s="61">
        <f t="shared" si="399"/>
        <v>640</v>
      </c>
    </row>
    <row r="650" spans="2:75" x14ac:dyDescent="0.3">
      <c r="B650" s="158">
        <f t="shared" si="537"/>
        <v>44550</v>
      </c>
      <c r="C650" s="61"/>
      <c r="D650" s="17">
        <v>143530</v>
      </c>
      <c r="E650" s="16"/>
      <c r="F650" s="16"/>
      <c r="G650" s="16"/>
      <c r="H650" s="16">
        <f t="shared" si="538"/>
        <v>48281517</v>
      </c>
      <c r="I650" s="16"/>
      <c r="J650" s="436">
        <f t="shared" si="539"/>
        <v>2.9816369346728189E-3</v>
      </c>
      <c r="K650" s="16"/>
      <c r="L650" s="16"/>
      <c r="M650" s="16"/>
      <c r="N650" s="16">
        <f t="shared" si="540"/>
        <v>860863</v>
      </c>
      <c r="O650" s="16">
        <f t="shared" si="541"/>
        <v>75322.179407176285</v>
      </c>
      <c r="P650" s="41"/>
      <c r="Q650" s="17">
        <f t="shared" si="542"/>
        <v>860863</v>
      </c>
      <c r="R650" s="16"/>
      <c r="S650" s="60">
        <f t="shared" si="543"/>
        <v>0.27662543543414397</v>
      </c>
      <c r="T650" s="16"/>
      <c r="U650" s="41"/>
      <c r="V650" s="10">
        <f t="shared" ref="V650:V852" si="558">+V649+1</f>
        <v>542</v>
      </c>
      <c r="W650" s="34">
        <v>623</v>
      </c>
      <c r="X650" s="33">
        <v>4256</v>
      </c>
      <c r="Y650" s="33"/>
      <c r="Z650" s="33">
        <f t="shared" si="544"/>
        <v>5886</v>
      </c>
      <c r="AA650" s="33">
        <f t="shared" si="545"/>
        <v>754950</v>
      </c>
      <c r="AB650" s="33"/>
      <c r="AC650" s="46">
        <f t="shared" si="546"/>
        <v>1.5636418383457171E-2</v>
      </c>
      <c r="AD650" s="33"/>
      <c r="AE650" s="33">
        <f t="shared" si="547"/>
        <v>1177.7691107644305</v>
      </c>
      <c r="AF650" s="50"/>
      <c r="AG650" s="33"/>
      <c r="AH650" s="33"/>
      <c r="AI650" s="213"/>
      <c r="AJ650" s="50"/>
      <c r="AL650" s="23">
        <f t="shared" si="548"/>
        <v>179172</v>
      </c>
      <c r="AM650" s="24"/>
      <c r="AN650" s="24"/>
      <c r="AO650" s="24">
        <v>178263</v>
      </c>
      <c r="AP650" s="24">
        <v>40719047</v>
      </c>
      <c r="AQ650" s="24">
        <v>20336656</v>
      </c>
      <c r="AR650" s="461">
        <f t="shared" si="549"/>
        <v>4.4196485558971261E-3</v>
      </c>
      <c r="AS650" s="25"/>
      <c r="AT650" s="25"/>
      <c r="AU650" s="24"/>
      <c r="AV650" s="298">
        <f t="shared" si="550"/>
        <v>0.84336718334678673</v>
      </c>
      <c r="AW650" s="298"/>
      <c r="AX650" s="24">
        <f t="shared" si="551"/>
        <v>63524.254290171608</v>
      </c>
      <c r="AY650" s="308"/>
      <c r="BA650" s="65">
        <f t="shared" si="552"/>
        <v>4894217</v>
      </c>
      <c r="BB650" s="66"/>
      <c r="BC650" s="66">
        <v>791372546</v>
      </c>
      <c r="BD650" s="66"/>
      <c r="BE650" s="66">
        <f t="shared" si="553"/>
        <v>143530</v>
      </c>
      <c r="BF650" s="66"/>
      <c r="BG650" s="144">
        <f t="shared" si="554"/>
        <v>2.9326447928238571E-2</v>
      </c>
      <c r="BH650" s="66"/>
      <c r="BI650" s="170"/>
      <c r="BJ650" s="66"/>
      <c r="BK650" s="66"/>
      <c r="BL650" s="66"/>
      <c r="BM650" s="144"/>
      <c r="BN650" s="65">
        <f t="shared" si="555"/>
        <v>1234590.5553822152</v>
      </c>
      <c r="BO650" s="66"/>
      <c r="BP650" s="66">
        <f t="shared" si="556"/>
        <v>47374539</v>
      </c>
      <c r="BQ650" s="66"/>
      <c r="BR650" s="435">
        <f t="shared" si="557"/>
        <v>5.9863763583226454E-2</v>
      </c>
      <c r="BS650" s="66"/>
      <c r="BT650" s="75"/>
      <c r="BU650" s="170"/>
      <c r="BV650" s="1"/>
      <c r="BW650" s="61">
        <f t="shared" si="399"/>
        <v>641</v>
      </c>
    </row>
    <row r="651" spans="2:75" x14ac:dyDescent="0.3">
      <c r="B651" s="158">
        <f t="shared" si="537"/>
        <v>44551</v>
      </c>
      <c r="C651" s="61"/>
      <c r="D651" s="17">
        <v>193227</v>
      </c>
      <c r="E651" s="16"/>
      <c r="F651" s="16"/>
      <c r="G651" s="16"/>
      <c r="H651" s="16">
        <f t="shared" si="538"/>
        <v>48474744</v>
      </c>
      <c r="I651" s="16"/>
      <c r="J651" s="436">
        <f t="shared" si="539"/>
        <v>4.0020904894102647E-3</v>
      </c>
      <c r="K651" s="16"/>
      <c r="L651" s="16"/>
      <c r="M651" s="16"/>
      <c r="N651" s="16">
        <f t="shared" si="540"/>
        <v>945524</v>
      </c>
      <c r="O651" s="16">
        <f t="shared" si="541"/>
        <v>75505.831775700935</v>
      </c>
      <c r="P651" s="41"/>
      <c r="Q651" s="17">
        <f t="shared" si="542"/>
        <v>945524</v>
      </c>
      <c r="R651" s="16"/>
      <c r="S651" s="60">
        <f t="shared" si="543"/>
        <v>0.40025560865515192</v>
      </c>
      <c r="T651" s="16"/>
      <c r="U651" s="41"/>
      <c r="V651" s="10">
        <f t="shared" si="558"/>
        <v>543</v>
      </c>
      <c r="W651" s="34">
        <v>2051</v>
      </c>
      <c r="X651" s="33">
        <v>4256</v>
      </c>
      <c r="Y651" s="33"/>
      <c r="Z651" s="33">
        <f t="shared" si="544"/>
        <v>6247</v>
      </c>
      <c r="AA651" s="33">
        <f t="shared" si="545"/>
        <v>757001</v>
      </c>
      <c r="AB651" s="33"/>
      <c r="AC651" s="46">
        <f t="shared" si="546"/>
        <v>1.5616400160875527E-2</v>
      </c>
      <c r="AD651" s="33"/>
      <c r="AE651" s="33">
        <f t="shared" si="547"/>
        <v>1179.1292834890967</v>
      </c>
      <c r="AF651" s="50"/>
      <c r="AG651" s="33"/>
      <c r="AH651" s="33"/>
      <c r="AI651" s="213"/>
      <c r="AJ651" s="50"/>
      <c r="AL651" s="23">
        <f t="shared" si="548"/>
        <v>84493</v>
      </c>
      <c r="AM651" s="24"/>
      <c r="AN651" s="24"/>
      <c r="AO651" s="24">
        <v>178263</v>
      </c>
      <c r="AP651" s="24">
        <v>40803540</v>
      </c>
      <c r="AQ651" s="24">
        <v>20336656</v>
      </c>
      <c r="AR651" s="461">
        <f t="shared" si="549"/>
        <v>2.0750240053506162E-3</v>
      </c>
      <c r="AS651" s="25"/>
      <c r="AT651" s="25"/>
      <c r="AU651" s="24"/>
      <c r="AV651" s="298">
        <f t="shared" si="550"/>
        <v>0.84174843708303027</v>
      </c>
      <c r="AW651" s="298"/>
      <c r="AX651" s="24">
        <f t="shared" si="551"/>
        <v>63556.915887850468</v>
      </c>
      <c r="AY651" s="308"/>
      <c r="BA651" s="65">
        <f t="shared" si="552"/>
        <v>1884941</v>
      </c>
      <c r="BB651" s="66"/>
      <c r="BC651" s="66">
        <v>793257487</v>
      </c>
      <c r="BD651" s="66"/>
      <c r="BE651" s="66">
        <f t="shared" si="553"/>
        <v>193227</v>
      </c>
      <c r="BF651" s="66"/>
      <c r="BG651" s="144">
        <f t="shared" si="554"/>
        <v>0.10251090087169837</v>
      </c>
      <c r="BH651" s="66"/>
      <c r="BI651" s="170"/>
      <c r="BJ651" s="66"/>
      <c r="BK651" s="66"/>
      <c r="BL651" s="66"/>
      <c r="BM651" s="144"/>
      <c r="BN651" s="65">
        <f t="shared" si="555"/>
        <v>1235603.5623052958</v>
      </c>
      <c r="BO651" s="66"/>
      <c r="BP651" s="66">
        <f t="shared" si="556"/>
        <v>47567766</v>
      </c>
      <c r="BQ651" s="66"/>
      <c r="BR651" s="435">
        <f t="shared" si="557"/>
        <v>5.9965101848449366E-2</v>
      </c>
      <c r="BS651" s="66"/>
      <c r="BT651" s="75"/>
      <c r="BU651" s="170"/>
      <c r="BV651" s="1"/>
      <c r="BW651" s="61">
        <f t="shared" si="399"/>
        <v>642</v>
      </c>
    </row>
    <row r="652" spans="2:75" x14ac:dyDescent="0.3">
      <c r="B652" s="158">
        <f t="shared" si="537"/>
        <v>44552</v>
      </c>
      <c r="C652" s="61"/>
      <c r="D652" s="17">
        <v>232383</v>
      </c>
      <c r="E652" s="16"/>
      <c r="F652" s="16"/>
      <c r="G652" s="16"/>
      <c r="H652" s="16">
        <f t="shared" si="538"/>
        <v>48707127</v>
      </c>
      <c r="I652" s="16"/>
      <c r="J652" s="436">
        <f t="shared" si="539"/>
        <v>4.7938984474059313E-3</v>
      </c>
      <c r="K652" s="16"/>
      <c r="L652" s="16"/>
      <c r="M652" s="16"/>
      <c r="N652" s="16">
        <f t="shared" si="540"/>
        <v>1041317</v>
      </c>
      <c r="O652" s="16">
        <f t="shared" si="541"/>
        <v>75749.808709175733</v>
      </c>
      <c r="P652" s="41"/>
      <c r="Q652" s="17">
        <f t="shared" si="542"/>
        <v>1041317</v>
      </c>
      <c r="R652" s="16"/>
      <c r="S652" s="60">
        <f t="shared" si="543"/>
        <v>0.52143681603670211</v>
      </c>
      <c r="T652" s="16"/>
      <c r="U652" s="41"/>
      <c r="V652" s="10">
        <f t="shared" si="558"/>
        <v>544</v>
      </c>
      <c r="W652" s="34">
        <v>1634</v>
      </c>
      <c r="X652" s="33">
        <v>4256</v>
      </c>
      <c r="Y652" s="33"/>
      <c r="Z652" s="33">
        <f t="shared" si="544"/>
        <v>6557</v>
      </c>
      <c r="AA652" s="33">
        <f t="shared" si="545"/>
        <v>758635</v>
      </c>
      <c r="AB652" s="33"/>
      <c r="AC652" s="46">
        <f t="shared" si="546"/>
        <v>1.5575441351734829E-2</v>
      </c>
      <c r="AD652" s="33"/>
      <c r="AE652" s="33">
        <f t="shared" si="547"/>
        <v>1179.836702954899</v>
      </c>
      <c r="AF652" s="50"/>
      <c r="AG652" s="33"/>
      <c r="AH652" s="33"/>
      <c r="AI652" s="213"/>
      <c r="AJ652" s="50"/>
      <c r="AL652" s="23">
        <f t="shared" si="548"/>
        <v>104606</v>
      </c>
      <c r="AM652" s="24"/>
      <c r="AN652" s="24"/>
      <c r="AO652" s="24">
        <v>178263</v>
      </c>
      <c r="AP652" s="24">
        <v>40908146</v>
      </c>
      <c r="AQ652" s="24">
        <v>20336656</v>
      </c>
      <c r="AR652" s="461">
        <f t="shared" si="549"/>
        <v>2.5636501146714232E-3</v>
      </c>
      <c r="AS652" s="25"/>
      <c r="AT652" s="25"/>
      <c r="AU652" s="24"/>
      <c r="AV652" s="298">
        <f t="shared" si="550"/>
        <v>0.83988008572133599</v>
      </c>
      <c r="AW652" s="298"/>
      <c r="AX652" s="24">
        <f t="shared" si="551"/>
        <v>63620.755832037328</v>
      </c>
      <c r="AY652" s="308"/>
      <c r="BA652" s="65">
        <f t="shared" si="552"/>
        <v>1909047</v>
      </c>
      <c r="BB652" s="66"/>
      <c r="BC652" s="66">
        <v>795166534</v>
      </c>
      <c r="BD652" s="66"/>
      <c r="BE652" s="66">
        <f t="shared" si="553"/>
        <v>232383</v>
      </c>
      <c r="BF652" s="66"/>
      <c r="BG652" s="144">
        <f t="shared" si="554"/>
        <v>0.12172722829767942</v>
      </c>
      <c r="BH652" s="66"/>
      <c r="BI652" s="170"/>
      <c r="BJ652" s="66"/>
      <c r="BK652" s="66"/>
      <c r="BL652" s="66"/>
      <c r="BM652" s="144"/>
      <c r="BN652" s="65">
        <f t="shared" si="555"/>
        <v>1236650.9082426128</v>
      </c>
      <c r="BO652" s="66"/>
      <c r="BP652" s="66">
        <f t="shared" si="556"/>
        <v>47800149</v>
      </c>
      <c r="BQ652" s="66"/>
      <c r="BR652" s="435">
        <f t="shared" si="557"/>
        <v>6.0113381230402739E-2</v>
      </c>
      <c r="BS652" s="66"/>
      <c r="BT652" s="75"/>
      <c r="BU652" s="170"/>
      <c r="BV652" s="1"/>
      <c r="BW652" s="61">
        <f t="shared" si="399"/>
        <v>643</v>
      </c>
    </row>
    <row r="653" spans="2:75" x14ac:dyDescent="0.3">
      <c r="B653" s="158">
        <f t="shared" si="537"/>
        <v>44553</v>
      </c>
      <c r="C653" s="61"/>
      <c r="D653" s="17">
        <v>267269</v>
      </c>
      <c r="E653" s="16"/>
      <c r="F653" s="16"/>
      <c r="G653" s="16"/>
      <c r="H653" s="16">
        <f t="shared" si="538"/>
        <v>48974396</v>
      </c>
      <c r="I653" s="16"/>
      <c r="J653" s="436">
        <f t="shared" si="539"/>
        <v>5.4872667813069742E-3</v>
      </c>
      <c r="K653" s="16"/>
      <c r="L653" s="16"/>
      <c r="M653" s="16"/>
      <c r="N653" s="16">
        <f t="shared" si="540"/>
        <v>1152791</v>
      </c>
      <c r="O653" s="16">
        <f t="shared" si="541"/>
        <v>76047.198757763981</v>
      </c>
      <c r="P653" s="41"/>
      <c r="Q653" s="17">
        <f t="shared" si="542"/>
        <v>1152791</v>
      </c>
      <c r="R653" s="16"/>
      <c r="S653" s="60">
        <f t="shared" si="543"/>
        <v>0.58061428898538525</v>
      </c>
      <c r="T653" s="16"/>
      <c r="U653" s="41"/>
      <c r="V653" s="10">
        <f t="shared" si="558"/>
        <v>545</v>
      </c>
      <c r="W653" s="34">
        <v>1297</v>
      </c>
      <c r="X653" s="33">
        <v>4256</v>
      </c>
      <c r="Y653" s="33"/>
      <c r="Z653" s="33">
        <f t="shared" si="544"/>
        <v>6201</v>
      </c>
      <c r="AA653" s="33">
        <f t="shared" si="545"/>
        <v>759932</v>
      </c>
      <c r="AB653" s="33"/>
      <c r="AC653" s="46">
        <f t="shared" si="546"/>
        <v>1.5516924394534646E-2</v>
      </c>
      <c r="AD653" s="33"/>
      <c r="AE653" s="33">
        <f t="shared" si="547"/>
        <v>1180.0186335403728</v>
      </c>
      <c r="AF653" s="50"/>
      <c r="AG653" s="33"/>
      <c r="AH653" s="33"/>
      <c r="AI653" s="213"/>
      <c r="AJ653" s="50"/>
      <c r="AL653" s="23">
        <f t="shared" si="548"/>
        <v>56847</v>
      </c>
      <c r="AM653" s="24"/>
      <c r="AN653" s="24"/>
      <c r="AO653" s="24">
        <v>178263</v>
      </c>
      <c r="AP653" s="24">
        <v>40964993</v>
      </c>
      <c r="AQ653" s="24">
        <v>20336656</v>
      </c>
      <c r="AR653" s="461">
        <f t="shared" si="549"/>
        <v>1.3896254305927236E-3</v>
      </c>
      <c r="AS653" s="25"/>
      <c r="AT653" s="25"/>
      <c r="AU653" s="24"/>
      <c r="AV653" s="298">
        <f t="shared" si="550"/>
        <v>0.83645733987204252</v>
      </c>
      <c r="AW653" s="298"/>
      <c r="AX653" s="24">
        <f t="shared" si="551"/>
        <v>63610.237577639753</v>
      </c>
      <c r="AY653" s="308"/>
      <c r="BA653" s="65">
        <f t="shared" si="552"/>
        <v>2191415</v>
      </c>
      <c r="BB653" s="66"/>
      <c r="BC653" s="66">
        <v>797357949</v>
      </c>
      <c r="BD653" s="66"/>
      <c r="BE653" s="66">
        <f t="shared" si="553"/>
        <v>267269</v>
      </c>
      <c r="BF653" s="66"/>
      <c r="BG653" s="144">
        <f t="shared" si="554"/>
        <v>0.12196183744293071</v>
      </c>
      <c r="BH653" s="66"/>
      <c r="BI653" s="170"/>
      <c r="BJ653" s="66"/>
      <c r="BK653" s="66"/>
      <c r="BL653" s="66"/>
      <c r="BM653" s="144"/>
      <c r="BN653" s="65">
        <f t="shared" si="555"/>
        <v>1238133.4611801242</v>
      </c>
      <c r="BO653" s="66"/>
      <c r="BP653" s="66">
        <f t="shared" si="556"/>
        <v>48067418</v>
      </c>
      <c r="BQ653" s="66"/>
      <c r="BR653" s="435">
        <f t="shared" si="557"/>
        <v>6.0283362146553332E-2</v>
      </c>
      <c r="BS653" s="66"/>
      <c r="BT653" s="75"/>
      <c r="BU653" s="170"/>
      <c r="BV653" s="1"/>
      <c r="BW653" s="61">
        <f t="shared" si="399"/>
        <v>644</v>
      </c>
    </row>
    <row r="654" spans="2:75" x14ac:dyDescent="0.3">
      <c r="B654" s="158">
        <f t="shared" si="537"/>
        <v>44554</v>
      </c>
      <c r="C654" s="61"/>
      <c r="D654" s="17">
        <v>216342</v>
      </c>
      <c r="E654" s="16"/>
      <c r="F654" s="16"/>
      <c r="G654" s="16"/>
      <c r="H654" s="16">
        <f t="shared" si="538"/>
        <v>49190738</v>
      </c>
      <c r="I654" s="16"/>
      <c r="J654" s="436">
        <f t="shared" si="539"/>
        <v>4.4174511105762281E-3</v>
      </c>
      <c r="K654" s="16"/>
      <c r="L654" s="16"/>
      <c r="M654" s="16"/>
      <c r="N654" s="16">
        <f t="shared" si="540"/>
        <v>1205426</v>
      </c>
      <c r="O654" s="16">
        <f t="shared" si="541"/>
        <v>76264.710077519383</v>
      </c>
      <c r="P654" s="41"/>
      <c r="Q654" s="17">
        <f t="shared" si="542"/>
        <v>1205426</v>
      </c>
      <c r="R654" s="16"/>
      <c r="S654" s="60">
        <f t="shared" si="543"/>
        <v>0.5940592357302773</v>
      </c>
      <c r="T654" s="16"/>
      <c r="U654" s="41"/>
      <c r="V654" s="10">
        <f t="shared" si="558"/>
        <v>546</v>
      </c>
      <c r="W654" s="34">
        <v>747</v>
      </c>
      <c r="X654" s="33">
        <v>4256</v>
      </c>
      <c r="Y654" s="33"/>
      <c r="Z654" s="33">
        <f t="shared" si="544"/>
        <v>6461</v>
      </c>
      <c r="AA654" s="33">
        <f t="shared" si="545"/>
        <v>760679</v>
      </c>
      <c r="AB654" s="33"/>
      <c r="AC654" s="46">
        <f t="shared" si="546"/>
        <v>1.5463866388831165E-2</v>
      </c>
      <c r="AD654" s="33"/>
      <c r="AE654" s="33">
        <f t="shared" si="547"/>
        <v>1179.3472868217054</v>
      </c>
      <c r="AF654" s="50"/>
      <c r="AG654" s="33"/>
      <c r="AH654" s="33"/>
      <c r="AI654" s="213"/>
      <c r="AJ654" s="50"/>
      <c r="AL654" s="23">
        <f t="shared" si="548"/>
        <v>29257</v>
      </c>
      <c r="AM654" s="24"/>
      <c r="AN654" s="24"/>
      <c r="AO654" s="24">
        <v>178263</v>
      </c>
      <c r="AP654" s="24">
        <v>40994250</v>
      </c>
      <c r="AQ654" s="24">
        <v>20336656</v>
      </c>
      <c r="AR654" s="461">
        <f t="shared" si="549"/>
        <v>7.141951665901664E-4</v>
      </c>
      <c r="AS654" s="25"/>
      <c r="AT654" s="25"/>
      <c r="AU654" s="24"/>
      <c r="AV654" s="298">
        <f t="shared" si="550"/>
        <v>0.83337334764117588</v>
      </c>
      <c r="AW654" s="298"/>
      <c r="AX654" s="24">
        <f t="shared" si="551"/>
        <v>63556.976744186046</v>
      </c>
      <c r="AY654" s="308"/>
      <c r="BA654" s="65">
        <f t="shared" si="552"/>
        <v>1103948</v>
      </c>
      <c r="BB654" s="66"/>
      <c r="BC654" s="66">
        <v>798461897</v>
      </c>
      <c r="BD654" s="66"/>
      <c r="BE654" s="66">
        <f t="shared" si="553"/>
        <v>216342</v>
      </c>
      <c r="BF654" s="66"/>
      <c r="BG654" s="144">
        <f t="shared" si="554"/>
        <v>0.19597118704866534</v>
      </c>
      <c r="BH654" s="66"/>
      <c r="BI654" s="170"/>
      <c r="BJ654" s="66"/>
      <c r="BK654" s="66"/>
      <c r="BL654" s="66"/>
      <c r="BM654" s="144"/>
      <c r="BN654" s="65">
        <f t="shared" si="555"/>
        <v>1237925.4217054264</v>
      </c>
      <c r="BO654" s="66"/>
      <c r="BP654" s="66">
        <f t="shared" si="556"/>
        <v>48283760</v>
      </c>
      <c r="BQ654" s="66"/>
      <c r="BR654" s="435">
        <f t="shared" si="557"/>
        <v>6.0470963212412375E-2</v>
      </c>
      <c r="BS654" s="66"/>
      <c r="BT654" s="75"/>
      <c r="BU654" s="170"/>
      <c r="BV654" s="1"/>
      <c r="BW654" s="61">
        <f t="shared" si="399"/>
        <v>645</v>
      </c>
    </row>
    <row r="655" spans="2:75" x14ac:dyDescent="0.3">
      <c r="B655" s="158">
        <f t="shared" si="537"/>
        <v>44555</v>
      </c>
      <c r="C655" s="61"/>
      <c r="D655" s="17">
        <v>121247</v>
      </c>
      <c r="E655" s="16"/>
      <c r="F655" s="16"/>
      <c r="G655" s="16"/>
      <c r="H655" s="16">
        <f t="shared" si="538"/>
        <v>49311985</v>
      </c>
      <c r="I655" s="16"/>
      <c r="J655" s="436">
        <f t="shared" si="539"/>
        <v>2.4648339286960893E-3</v>
      </c>
      <c r="K655" s="16"/>
      <c r="L655" s="16"/>
      <c r="M655" s="16"/>
      <c r="N655" s="16">
        <f t="shared" si="540"/>
        <v>1240749</v>
      </c>
      <c r="O655" s="16">
        <f t="shared" si="541"/>
        <v>76334.34210526316</v>
      </c>
      <c r="P655" s="41"/>
      <c r="Q655" s="17">
        <f t="shared" si="542"/>
        <v>1240749</v>
      </c>
      <c r="R655" s="16"/>
      <c r="S655" s="60">
        <f t="shared" si="543"/>
        <v>0.58115811084108882</v>
      </c>
      <c r="T655" s="16"/>
      <c r="U655" s="41"/>
      <c r="V655" s="10">
        <f t="shared" si="558"/>
        <v>547</v>
      </c>
      <c r="W655" s="34">
        <v>131</v>
      </c>
      <c r="X655" s="33">
        <v>4256</v>
      </c>
      <c r="Y655" s="33"/>
      <c r="Z655" s="33">
        <f t="shared" si="544"/>
        <v>6483</v>
      </c>
      <c r="AA655" s="33">
        <f t="shared" si="545"/>
        <v>760810</v>
      </c>
      <c r="AB655" s="33"/>
      <c r="AC655" s="46">
        <f t="shared" si="546"/>
        <v>1.5428500799552077E-2</v>
      </c>
      <c r="AD655" s="33"/>
      <c r="AE655" s="33">
        <f t="shared" si="547"/>
        <v>1177.7244582043343</v>
      </c>
      <c r="AF655" s="50"/>
      <c r="AG655" s="33"/>
      <c r="AH655" s="33"/>
      <c r="AI655" s="213"/>
      <c r="AJ655" s="50"/>
      <c r="AL655" s="23">
        <f t="shared" si="548"/>
        <v>6934</v>
      </c>
      <c r="AM655" s="24"/>
      <c r="AN655" s="24"/>
      <c r="AO655" s="24">
        <v>178263</v>
      </c>
      <c r="AP655" s="24">
        <v>41001184</v>
      </c>
      <c r="AQ655" s="24">
        <v>20336656</v>
      </c>
      <c r="AR655" s="461">
        <f t="shared" si="549"/>
        <v>1.6914567286875599E-4</v>
      </c>
      <c r="AS655" s="25"/>
      <c r="AT655" s="25"/>
      <c r="AU655" s="24"/>
      <c r="AV655" s="298">
        <f t="shared" si="550"/>
        <v>0.83146488627460446</v>
      </c>
      <c r="AW655" s="298"/>
      <c r="AX655" s="24">
        <f t="shared" si="551"/>
        <v>63469.325077399379</v>
      </c>
      <c r="AY655" s="308"/>
      <c r="BA655" s="65">
        <f t="shared" si="552"/>
        <v>455597</v>
      </c>
      <c r="BB655" s="66"/>
      <c r="BC655" s="66">
        <v>798917494</v>
      </c>
      <c r="BD655" s="66"/>
      <c r="BE655" s="66">
        <f t="shared" si="553"/>
        <v>121247</v>
      </c>
      <c r="BF655" s="66"/>
      <c r="BG655" s="144">
        <f t="shared" si="554"/>
        <v>0.26612774008608486</v>
      </c>
      <c r="BH655" s="66"/>
      <c r="BI655" s="170"/>
      <c r="BJ655" s="66"/>
      <c r="BK655" s="66"/>
      <c r="BL655" s="66"/>
      <c r="BM655" s="144"/>
      <c r="BN655" s="65">
        <f t="shared" si="555"/>
        <v>1236714.3869969039</v>
      </c>
      <c r="BO655" s="66"/>
      <c r="BP655" s="66">
        <f t="shared" si="556"/>
        <v>48405007</v>
      </c>
      <c r="BQ655" s="66"/>
      <c r="BR655" s="435">
        <f t="shared" si="557"/>
        <v>6.0588242670275037E-2</v>
      </c>
      <c r="BS655" s="66"/>
      <c r="BT655" s="75"/>
      <c r="BU655" s="170"/>
      <c r="BV655" s="1"/>
      <c r="BW655" s="61">
        <f t="shared" si="399"/>
        <v>646</v>
      </c>
    </row>
    <row r="656" spans="2:75" x14ac:dyDescent="0.3">
      <c r="B656" s="347">
        <f t="shared" si="537"/>
        <v>44556</v>
      </c>
      <c r="C656" s="61"/>
      <c r="D656" s="17">
        <v>96384</v>
      </c>
      <c r="E656" s="16"/>
      <c r="F656" s="16"/>
      <c r="G656" s="16"/>
      <c r="H656" s="16">
        <f t="shared" si="538"/>
        <v>49408369</v>
      </c>
      <c r="I656" s="16"/>
      <c r="J656" s="436">
        <f t="shared" si="539"/>
        <v>1.9545755458840281E-3</v>
      </c>
      <c r="K656" s="16"/>
      <c r="L656" s="16"/>
      <c r="M656" s="16"/>
      <c r="N656" s="16">
        <f t="shared" si="540"/>
        <v>1270382</v>
      </c>
      <c r="O656" s="16">
        <f t="shared" si="541"/>
        <v>76365.33075734158</v>
      </c>
      <c r="P656" s="41"/>
      <c r="Q656" s="17">
        <f t="shared" si="542"/>
        <v>1270382</v>
      </c>
      <c r="R656" s="16"/>
      <c r="S656" s="60">
        <f t="shared" si="543"/>
        <v>0.56320846192086393</v>
      </c>
      <c r="T656" s="16"/>
      <c r="U656" s="41"/>
      <c r="V656" s="10">
        <f t="shared" si="558"/>
        <v>548</v>
      </c>
      <c r="W656" s="34">
        <v>52</v>
      </c>
      <c r="X656" s="33">
        <v>4256</v>
      </c>
      <c r="Y656" s="33"/>
      <c r="Z656" s="33">
        <f t="shared" si="544"/>
        <v>5912</v>
      </c>
      <c r="AA656" s="33">
        <f t="shared" si="545"/>
        <v>760862</v>
      </c>
      <c r="AB656" s="33"/>
      <c r="AC656" s="46">
        <f t="shared" si="546"/>
        <v>1.5399455909989661E-2</v>
      </c>
      <c r="AD656" s="33"/>
      <c r="AE656" s="33">
        <f t="shared" si="547"/>
        <v>1175.9845440494591</v>
      </c>
      <c r="AF656" s="50"/>
      <c r="AG656" s="33"/>
      <c r="AH656" s="33"/>
      <c r="AI656" s="213"/>
      <c r="AJ656" s="50"/>
      <c r="AL656" s="23">
        <f t="shared" si="548"/>
        <v>29834</v>
      </c>
      <c r="AM656" s="24"/>
      <c r="AN656" s="24"/>
      <c r="AO656" s="24">
        <v>178263</v>
      </c>
      <c r="AP656" s="24">
        <v>41031018</v>
      </c>
      <c r="AQ656" s="24">
        <v>20336656</v>
      </c>
      <c r="AR656" s="461">
        <f t="shared" si="549"/>
        <v>7.2763752383345811E-4</v>
      </c>
      <c r="AS656" s="25"/>
      <c r="AT656" s="25"/>
      <c r="AU656" s="24"/>
      <c r="AV656" s="298">
        <f t="shared" si="550"/>
        <v>0.83044672047361046</v>
      </c>
      <c r="AW656" s="298"/>
      <c r="AX656" s="24">
        <f t="shared" si="551"/>
        <v>63417.338485316846</v>
      </c>
      <c r="AY656" s="308"/>
      <c r="BA656" s="65">
        <f t="shared" si="552"/>
        <v>631315</v>
      </c>
      <c r="BB656" s="66"/>
      <c r="BC656" s="66">
        <v>799548809</v>
      </c>
      <c r="BD656" s="66"/>
      <c r="BE656" s="66">
        <f t="shared" si="553"/>
        <v>96384</v>
      </c>
      <c r="BF656" s="66"/>
      <c r="BG656" s="144">
        <f t="shared" si="554"/>
        <v>0.15267180409145989</v>
      </c>
      <c r="BH656" s="66"/>
      <c r="BI656" s="170"/>
      <c r="BJ656" s="66"/>
      <c r="BK656" s="66"/>
      <c r="BL656" s="66"/>
      <c r="BM656" s="144"/>
      <c r="BN656" s="65">
        <f t="shared" si="555"/>
        <v>1235778.6846986089</v>
      </c>
      <c r="BO656" s="66"/>
      <c r="BP656" s="66">
        <f t="shared" si="556"/>
        <v>48501391</v>
      </c>
      <c r="BQ656" s="66"/>
      <c r="BR656" s="435">
        <f t="shared" si="557"/>
        <v>6.0660950843840232E-2</v>
      </c>
      <c r="BS656" s="66"/>
      <c r="BT656" s="75"/>
      <c r="BU656" s="170"/>
      <c r="BV656" s="1"/>
      <c r="BW656" s="61">
        <f t="shared" si="399"/>
        <v>647</v>
      </c>
    </row>
    <row r="657" spans="2:85" x14ac:dyDescent="0.3">
      <c r="B657" s="158">
        <f t="shared" si="537"/>
        <v>44557</v>
      </c>
      <c r="C657" s="61"/>
      <c r="D657" s="17">
        <v>229016</v>
      </c>
      <c r="E657" s="16"/>
      <c r="F657" s="16"/>
      <c r="G657" s="16"/>
      <c r="H657" s="16">
        <f t="shared" si="538"/>
        <v>49637385</v>
      </c>
      <c r="I657" s="16"/>
      <c r="J657" s="436">
        <f t="shared" si="539"/>
        <v>4.6351661598058418E-3</v>
      </c>
      <c r="K657" s="16"/>
      <c r="L657" s="16"/>
      <c r="M657" s="16"/>
      <c r="N657" s="16">
        <f t="shared" si="540"/>
        <v>1355868</v>
      </c>
      <c r="O657" s="16">
        <f t="shared" si="541"/>
        <v>76600.902777777781</v>
      </c>
      <c r="P657" s="41"/>
      <c r="Q657" s="17">
        <f t="shared" si="542"/>
        <v>1355868</v>
      </c>
      <c r="R657" s="16"/>
      <c r="S657" s="60">
        <f t="shared" si="543"/>
        <v>0.5750101932595546</v>
      </c>
      <c r="T657" s="16"/>
      <c r="U657" s="41"/>
      <c r="V657" s="10">
        <f t="shared" si="558"/>
        <v>549</v>
      </c>
      <c r="W657" s="34">
        <v>823</v>
      </c>
      <c r="X657" s="33">
        <v>4256</v>
      </c>
      <c r="Y657" s="33"/>
      <c r="Z657" s="33">
        <f t="shared" si="544"/>
        <v>4684</v>
      </c>
      <c r="AA657" s="33">
        <f t="shared" si="545"/>
        <v>761685</v>
      </c>
      <c r="AB657" s="33"/>
      <c r="AC657" s="46">
        <f t="shared" si="546"/>
        <v>1.5344986445196499E-2</v>
      </c>
      <c r="AD657" s="33"/>
      <c r="AE657" s="33">
        <f t="shared" si="547"/>
        <v>1175.4398148148148</v>
      </c>
      <c r="AF657" s="50"/>
      <c r="AG657" s="33"/>
      <c r="AH657" s="33"/>
      <c r="AI657" s="213"/>
      <c r="AJ657" s="50"/>
      <c r="AL657" s="23">
        <f t="shared" si="548"/>
        <v>172680</v>
      </c>
      <c r="AM657" s="24"/>
      <c r="AN657" s="24"/>
      <c r="AO657" s="24">
        <v>178263</v>
      </c>
      <c r="AP657" s="24">
        <v>41203698</v>
      </c>
      <c r="AQ657" s="24">
        <v>20336656</v>
      </c>
      <c r="AR657" s="461">
        <f t="shared" si="549"/>
        <v>4.208523415139249E-3</v>
      </c>
      <c r="AS657" s="25"/>
      <c r="AT657" s="25"/>
      <c r="AU657" s="24"/>
      <c r="AV657" s="298">
        <f t="shared" si="550"/>
        <v>0.83009405108669609</v>
      </c>
      <c r="AW657" s="298"/>
      <c r="AX657" s="24">
        <f t="shared" si="551"/>
        <v>63585.953703703701</v>
      </c>
      <c r="AY657" s="308"/>
      <c r="BA657" s="65">
        <f t="shared" si="552"/>
        <v>3999941</v>
      </c>
      <c r="BB657" s="66"/>
      <c r="BC657" s="66">
        <v>803548750</v>
      </c>
      <c r="BD657" s="66"/>
      <c r="BE657" s="66">
        <f t="shared" si="553"/>
        <v>229016</v>
      </c>
      <c r="BF657" s="66"/>
      <c r="BG657" s="144">
        <f t="shared" si="554"/>
        <v>5.7254844508956508E-2</v>
      </c>
      <c r="BH657" s="66"/>
      <c r="BI657" s="170"/>
      <c r="BJ657" s="66"/>
      <c r="BK657" s="66"/>
      <c r="BL657" s="66"/>
      <c r="BM657" s="144"/>
      <c r="BN657" s="65">
        <f t="shared" si="555"/>
        <v>1240044.3672839506</v>
      </c>
      <c r="BO657" s="66"/>
      <c r="BP657" s="66">
        <f t="shared" si="556"/>
        <v>48730407</v>
      </c>
      <c r="BQ657" s="66"/>
      <c r="BR657" s="435">
        <f t="shared" si="557"/>
        <v>6.0643995774991875E-2</v>
      </c>
      <c r="BS657" s="66"/>
      <c r="BT657" s="75"/>
      <c r="BU657" s="170"/>
      <c r="BV657" s="1"/>
      <c r="BW657" s="61">
        <f t="shared" si="399"/>
        <v>648</v>
      </c>
    </row>
    <row r="658" spans="2:85" x14ac:dyDescent="0.3">
      <c r="B658" s="158">
        <f t="shared" si="537"/>
        <v>44558</v>
      </c>
      <c r="C658" s="61"/>
      <c r="D658" s="17">
        <v>314433</v>
      </c>
      <c r="E658" s="16"/>
      <c r="F658" s="16"/>
      <c r="G658" s="16"/>
      <c r="H658" s="16">
        <f t="shared" si="538"/>
        <v>49951818</v>
      </c>
      <c r="I658" s="16"/>
      <c r="J658" s="436">
        <f t="shared" si="539"/>
        <v>6.334600422645149E-3</v>
      </c>
      <c r="K658" s="16"/>
      <c r="L658" s="16"/>
      <c r="M658" s="16"/>
      <c r="N658" s="16">
        <f t="shared" si="540"/>
        <v>1477074</v>
      </c>
      <c r="O658" s="16">
        <f t="shared" si="541"/>
        <v>76967.362095531586</v>
      </c>
      <c r="P658" s="41"/>
      <c r="Q658" s="17">
        <f t="shared" si="542"/>
        <v>1477074</v>
      </c>
      <c r="R658" s="16"/>
      <c r="S658" s="60">
        <f t="shared" si="543"/>
        <v>0.56217504790994199</v>
      </c>
      <c r="T658" s="16"/>
      <c r="U658" s="41"/>
      <c r="V658" s="10">
        <f t="shared" si="558"/>
        <v>550</v>
      </c>
      <c r="W658" s="34">
        <v>1812</v>
      </c>
      <c r="X658" s="33">
        <v>4256</v>
      </c>
      <c r="Y658" s="33"/>
      <c r="Z658" s="33">
        <f t="shared" si="544"/>
        <v>4862</v>
      </c>
      <c r="AA658" s="33">
        <f t="shared" si="545"/>
        <v>763497</v>
      </c>
      <c r="AB658" s="33"/>
      <c r="AC658" s="46">
        <f t="shared" si="546"/>
        <v>1.5284668918356486E-2</v>
      </c>
      <c r="AD658" s="33"/>
      <c r="AE658" s="33">
        <f t="shared" si="547"/>
        <v>1176.4206471494608</v>
      </c>
      <c r="AF658" s="50"/>
      <c r="AG658" s="33"/>
      <c r="AH658" s="33"/>
      <c r="AI658" s="213"/>
      <c r="AJ658" s="50"/>
      <c r="AL658" s="23">
        <f t="shared" si="548"/>
        <v>121412</v>
      </c>
      <c r="AM658" s="24"/>
      <c r="AN658" s="24"/>
      <c r="AO658" s="24">
        <v>178263</v>
      </c>
      <c r="AP658" s="24">
        <v>41325110</v>
      </c>
      <c r="AQ658" s="24">
        <v>20336656</v>
      </c>
      <c r="AR658" s="461">
        <f t="shared" si="549"/>
        <v>2.9466287224996163E-3</v>
      </c>
      <c r="AS658" s="25"/>
      <c r="AT658" s="25"/>
      <c r="AU658" s="24"/>
      <c r="AV658" s="298">
        <f t="shared" si="550"/>
        <v>0.82729941881194391</v>
      </c>
      <c r="AW658" s="298"/>
      <c r="AX658" s="24">
        <f t="shared" si="551"/>
        <v>63675.053929121728</v>
      </c>
      <c r="AY658" s="308"/>
      <c r="BA658" s="65">
        <f t="shared" si="552"/>
        <v>3069846</v>
      </c>
      <c r="BB658" s="66"/>
      <c r="BC658" s="66">
        <v>806618596</v>
      </c>
      <c r="BD658" s="66"/>
      <c r="BE658" s="66">
        <f t="shared" si="553"/>
        <v>314433</v>
      </c>
      <c r="BF658" s="66"/>
      <c r="BG658" s="144">
        <f t="shared" si="554"/>
        <v>0.10242631063577783</v>
      </c>
      <c r="BH658" s="66"/>
      <c r="BI658" s="170"/>
      <c r="BJ658" s="66"/>
      <c r="BK658" s="66"/>
      <c r="BL658" s="66"/>
      <c r="BM658" s="144"/>
      <c r="BN658" s="65">
        <f t="shared" si="555"/>
        <v>1242863.7842835132</v>
      </c>
      <c r="BO658" s="66"/>
      <c r="BP658" s="66">
        <f t="shared" si="556"/>
        <v>49044840</v>
      </c>
      <c r="BQ658" s="66"/>
      <c r="BR658" s="435">
        <f t="shared" si="557"/>
        <v>6.0803011786750329E-2</v>
      </c>
      <c r="BS658" s="66"/>
      <c r="BT658" s="75"/>
      <c r="BU658" s="170"/>
      <c r="BV658" s="1"/>
      <c r="BW658" s="61">
        <f t="shared" si="399"/>
        <v>649</v>
      </c>
    </row>
    <row r="659" spans="2:85" x14ac:dyDescent="0.3">
      <c r="B659" s="158">
        <f t="shared" si="537"/>
        <v>44559</v>
      </c>
      <c r="C659" s="61"/>
      <c r="D659" s="17">
        <v>475831</v>
      </c>
      <c r="E659" s="16"/>
      <c r="F659" s="16"/>
      <c r="G659" s="16"/>
      <c r="H659" s="16">
        <f t="shared" si="538"/>
        <v>50427649</v>
      </c>
      <c r="I659" s="16"/>
      <c r="J659" s="436">
        <f t="shared" si="539"/>
        <v>9.5257994413736856E-3</v>
      </c>
      <c r="K659" s="16"/>
      <c r="L659" s="16"/>
      <c r="M659" s="16"/>
      <c r="N659" s="16">
        <f t="shared" si="540"/>
        <v>1720522</v>
      </c>
      <c r="O659" s="16">
        <f t="shared" si="541"/>
        <v>77580.99846153846</v>
      </c>
      <c r="P659" s="41"/>
      <c r="Q659" s="17">
        <f t="shared" si="542"/>
        <v>1720522</v>
      </c>
      <c r="R659" s="16"/>
      <c r="S659" s="60">
        <f t="shared" si="543"/>
        <v>0.65225574920989482</v>
      </c>
      <c r="T659" s="16"/>
      <c r="U659" s="41"/>
      <c r="V659" s="10">
        <f t="shared" si="558"/>
        <v>551</v>
      </c>
      <c r="W659" s="34">
        <v>1791</v>
      </c>
      <c r="X659" s="33">
        <v>4256</v>
      </c>
      <c r="Y659" s="33"/>
      <c r="Z659" s="33">
        <f t="shared" si="544"/>
        <v>5356</v>
      </c>
      <c r="AA659" s="33">
        <f t="shared" si="545"/>
        <v>765288</v>
      </c>
      <c r="AB659" s="33"/>
      <c r="AC659" s="46">
        <f t="shared" si="546"/>
        <v>1.5175960314945478E-2</v>
      </c>
      <c r="AD659" s="33"/>
      <c r="AE659" s="33">
        <f t="shared" si="547"/>
        <v>1177.3661538461538</v>
      </c>
      <c r="AF659" s="50"/>
      <c r="AG659" s="33"/>
      <c r="AH659" s="33"/>
      <c r="AI659" s="213"/>
      <c r="AJ659" s="50"/>
      <c r="AL659" s="23">
        <f t="shared" si="548"/>
        <v>83181</v>
      </c>
      <c r="AM659" s="24"/>
      <c r="AN659" s="24"/>
      <c r="AO659" s="24">
        <v>178263</v>
      </c>
      <c r="AP659" s="24">
        <v>41408291</v>
      </c>
      <c r="AQ659" s="24">
        <v>20336656</v>
      </c>
      <c r="AR659" s="461">
        <f t="shared" si="549"/>
        <v>2.012844006948802E-3</v>
      </c>
      <c r="AS659" s="25"/>
      <c r="AT659" s="25"/>
      <c r="AU659" s="24"/>
      <c r="AV659" s="298">
        <f t="shared" si="550"/>
        <v>0.82114260373312264</v>
      </c>
      <c r="AW659" s="298"/>
      <c r="AX659" s="24">
        <f t="shared" si="551"/>
        <v>63705.063076923077</v>
      </c>
      <c r="AY659" s="308"/>
      <c r="BA659" s="65">
        <f t="shared" si="552"/>
        <v>2389885</v>
      </c>
      <c r="BB659" s="66"/>
      <c r="BC659" s="66">
        <v>809008481</v>
      </c>
      <c r="BD659" s="66"/>
      <c r="BE659" s="66">
        <f t="shared" si="553"/>
        <v>475831</v>
      </c>
      <c r="BF659" s="66"/>
      <c r="BG659" s="144">
        <f t="shared" si="554"/>
        <v>0.19910204884335439</v>
      </c>
      <c r="BH659" s="66"/>
      <c r="BI659" s="170"/>
      <c r="BJ659" s="66"/>
      <c r="BK659" s="66"/>
      <c r="BL659" s="66"/>
      <c r="BM659" s="144"/>
      <c r="BN659" s="65">
        <f t="shared" si="555"/>
        <v>1244628.4323076922</v>
      </c>
      <c r="BO659" s="66"/>
      <c r="BP659" s="66">
        <f t="shared" si="556"/>
        <v>49520671</v>
      </c>
      <c r="BQ659" s="66"/>
      <c r="BR659" s="435">
        <f t="shared" si="557"/>
        <v>6.1211559783388721E-2</v>
      </c>
      <c r="BS659" s="66"/>
      <c r="BT659" s="75"/>
      <c r="BU659" s="170"/>
      <c r="BV659" s="1"/>
      <c r="BW659" s="61">
        <f t="shared" si="399"/>
        <v>650</v>
      </c>
    </row>
    <row r="660" spans="2:85" x14ac:dyDescent="0.3">
      <c r="B660" s="158">
        <f t="shared" si="537"/>
        <v>44560</v>
      </c>
      <c r="C660" s="61"/>
      <c r="D660" s="17">
        <v>572029</v>
      </c>
      <c r="E660" s="16"/>
      <c r="F660" s="16"/>
      <c r="G660" s="16"/>
      <c r="H660" s="16">
        <f t="shared" si="538"/>
        <v>50999678</v>
      </c>
      <c r="I660" s="16"/>
      <c r="J660" s="436">
        <f t="shared" si="539"/>
        <v>1.1343558768722294E-2</v>
      </c>
      <c r="K660" s="16"/>
      <c r="L660" s="16"/>
      <c r="M660" s="16"/>
      <c r="N660" s="16">
        <f t="shared" si="540"/>
        <v>2025282</v>
      </c>
      <c r="O660" s="16">
        <f t="shared" si="541"/>
        <v>78340.519201228875</v>
      </c>
      <c r="P660" s="41"/>
      <c r="Q660" s="17">
        <f t="shared" si="542"/>
        <v>2025282</v>
      </c>
      <c r="R660" s="16"/>
      <c r="S660" s="60">
        <f t="shared" si="543"/>
        <v>0.7568509816610296</v>
      </c>
      <c r="T660" s="16"/>
      <c r="U660" s="41"/>
      <c r="V660" s="10">
        <f t="shared" si="558"/>
        <v>552</v>
      </c>
      <c r="W660" s="34">
        <v>1362</v>
      </c>
      <c r="X660" s="33">
        <v>4256</v>
      </c>
      <c r="Y660" s="33"/>
      <c r="Z660" s="33">
        <f t="shared" si="544"/>
        <v>5971</v>
      </c>
      <c r="AA660" s="33">
        <f t="shared" si="545"/>
        <v>766650</v>
      </c>
      <c r="AB660" s="33"/>
      <c r="AC660" s="46">
        <f t="shared" si="546"/>
        <v>1.5032447851925654E-2</v>
      </c>
      <c r="AD660" s="33"/>
      <c r="AE660" s="33">
        <f t="shared" si="547"/>
        <v>1177.6497695852534</v>
      </c>
      <c r="AF660" s="50"/>
      <c r="AG660" s="33"/>
      <c r="AH660" s="33"/>
      <c r="AI660" s="213"/>
      <c r="AJ660" s="50"/>
      <c r="AL660" s="23">
        <f t="shared" si="548"/>
        <v>59369</v>
      </c>
      <c r="AM660" s="24"/>
      <c r="AN660" s="24"/>
      <c r="AO660" s="24">
        <v>178263</v>
      </c>
      <c r="AP660" s="24">
        <v>41467660</v>
      </c>
      <c r="AQ660" s="24">
        <v>20336656</v>
      </c>
      <c r="AR660" s="461">
        <f t="shared" si="549"/>
        <v>1.4337466861407055E-3</v>
      </c>
      <c r="AS660" s="25"/>
      <c r="AT660" s="25"/>
      <c r="AU660" s="24"/>
      <c r="AV660" s="298">
        <f t="shared" si="550"/>
        <v>0.8130965062171569</v>
      </c>
      <c r="AW660" s="298"/>
      <c r="AX660" s="24">
        <f t="shared" si="551"/>
        <v>63698.4024577573</v>
      </c>
      <c r="AY660" s="308"/>
      <c r="BA660" s="65">
        <f t="shared" si="552"/>
        <v>2314597</v>
      </c>
      <c r="BB660" s="66"/>
      <c r="BC660" s="66">
        <v>811323078</v>
      </c>
      <c r="BD660" s="66"/>
      <c r="BE660" s="66">
        <f t="shared" si="553"/>
        <v>572029</v>
      </c>
      <c r="BF660" s="66"/>
      <c r="BG660" s="144">
        <f t="shared" si="554"/>
        <v>0.24713978286500846</v>
      </c>
      <c r="BH660" s="66"/>
      <c r="BI660" s="170"/>
      <c r="BJ660" s="66"/>
      <c r="BK660" s="66"/>
      <c r="BL660" s="66"/>
      <c r="BM660" s="144"/>
      <c r="BN660" s="65">
        <f t="shared" si="555"/>
        <v>1246272.0092165899</v>
      </c>
      <c r="BO660" s="66"/>
      <c r="BP660" s="66">
        <f t="shared" si="556"/>
        <v>50092700</v>
      </c>
      <c r="BQ660" s="66"/>
      <c r="BR660" s="435">
        <f t="shared" si="557"/>
        <v>6.1741988313070026E-2</v>
      </c>
      <c r="BS660" s="66"/>
      <c r="BT660" s="75"/>
      <c r="BU660" s="170"/>
      <c r="BV660" s="1"/>
      <c r="BW660" s="61">
        <f t="shared" si="399"/>
        <v>651</v>
      </c>
    </row>
    <row r="661" spans="2:85" x14ac:dyDescent="0.3">
      <c r="B661" s="158">
        <f t="shared" si="537"/>
        <v>44561</v>
      </c>
      <c r="C661" s="61"/>
      <c r="D661" s="17">
        <v>443677</v>
      </c>
      <c r="E661" s="16"/>
      <c r="F661" s="16"/>
      <c r="G661" s="16"/>
      <c r="H661" s="16">
        <f t="shared" si="538"/>
        <v>51443355</v>
      </c>
      <c r="I661" s="16"/>
      <c r="J661" s="436">
        <f t="shared" si="539"/>
        <v>8.6996039465190352E-3</v>
      </c>
      <c r="K661" s="16"/>
      <c r="L661" s="16"/>
      <c r="M661" s="16"/>
      <c r="N661" s="16">
        <f t="shared" si="540"/>
        <v>2252617</v>
      </c>
      <c r="O661" s="16">
        <f t="shared" si="541"/>
        <v>78900.851226993866</v>
      </c>
      <c r="P661" s="41"/>
      <c r="Q661" s="17">
        <f t="shared" si="542"/>
        <v>2252617</v>
      </c>
      <c r="R661" s="16"/>
      <c r="S661" s="60">
        <f t="shared" si="543"/>
        <v>0.86873105441561738</v>
      </c>
      <c r="T661" s="16"/>
      <c r="U661" s="41"/>
      <c r="V661" s="10">
        <f t="shared" si="558"/>
        <v>553</v>
      </c>
      <c r="W661" s="34">
        <v>716</v>
      </c>
      <c r="X661" s="33">
        <v>4256</v>
      </c>
      <c r="Y661" s="33"/>
      <c r="Z661" s="33">
        <f t="shared" si="544"/>
        <v>6556</v>
      </c>
      <c r="AA661" s="33">
        <f t="shared" si="545"/>
        <v>767366</v>
      </c>
      <c r="AB661" s="33"/>
      <c r="AC661" s="46">
        <f t="shared" si="546"/>
        <v>1.4916717620769486E-2</v>
      </c>
      <c r="AD661" s="33"/>
      <c r="AE661" s="33">
        <f t="shared" si="547"/>
        <v>1176.9417177914111</v>
      </c>
      <c r="AF661" s="50"/>
      <c r="AG661" s="33"/>
      <c r="AH661" s="33"/>
      <c r="AI661" s="213"/>
      <c r="AJ661" s="50"/>
      <c r="AL661" s="23">
        <f t="shared" si="548"/>
        <v>35079</v>
      </c>
      <c r="AM661" s="24"/>
      <c r="AN661" s="24"/>
      <c r="AO661" s="24">
        <v>178263</v>
      </c>
      <c r="AP661" s="24">
        <v>41502739</v>
      </c>
      <c r="AQ661" s="24">
        <v>20336656</v>
      </c>
      <c r="AR661" s="461">
        <f t="shared" si="549"/>
        <v>8.4593632724875244E-4</v>
      </c>
      <c r="AS661" s="25"/>
      <c r="AT661" s="25"/>
      <c r="AU661" s="24"/>
      <c r="AV661" s="298">
        <f t="shared" si="550"/>
        <v>0.80676579122804104</v>
      </c>
      <c r="AW661" s="298"/>
      <c r="AX661" s="24">
        <f t="shared" si="551"/>
        <v>63654.50766871166</v>
      </c>
      <c r="AY661" s="308"/>
      <c r="BA661" s="65">
        <f t="shared" si="552"/>
        <v>1421158</v>
      </c>
      <c r="BB661" s="66"/>
      <c r="BC661" s="66">
        <v>812744236</v>
      </c>
      <c r="BD661" s="66"/>
      <c r="BE661" s="66">
        <f t="shared" si="553"/>
        <v>443677</v>
      </c>
      <c r="BF661" s="66"/>
      <c r="BG661" s="144">
        <f t="shared" si="554"/>
        <v>0.31219399954121918</v>
      </c>
      <c r="BH661" s="66"/>
      <c r="BI661" s="170"/>
      <c r="BJ661" s="66"/>
      <c r="BK661" s="66"/>
      <c r="BL661" s="66"/>
      <c r="BM661" s="144"/>
      <c r="BN661" s="65">
        <f t="shared" si="555"/>
        <v>1246540.2392638037</v>
      </c>
      <c r="BO661" s="66"/>
      <c r="BP661" s="66">
        <f t="shared" si="556"/>
        <v>50536377</v>
      </c>
      <c r="BQ661" s="66"/>
      <c r="BR661" s="435">
        <f t="shared" si="557"/>
        <v>6.2179926674989054E-2</v>
      </c>
      <c r="BS661" s="66"/>
      <c r="BT661" s="75"/>
      <c r="BU661" s="170"/>
      <c r="BV661" s="1"/>
      <c r="BW661" s="61">
        <f t="shared" si="399"/>
        <v>652</v>
      </c>
    </row>
    <row r="662" spans="2:85" x14ac:dyDescent="0.3">
      <c r="B662" s="158">
        <f t="shared" si="537"/>
        <v>44562</v>
      </c>
      <c r="C662" s="61"/>
      <c r="D662" s="17">
        <v>161398</v>
      </c>
      <c r="E662" s="16"/>
      <c r="F662" s="16"/>
      <c r="G662" s="16"/>
      <c r="H662" s="16">
        <f t="shared" si="538"/>
        <v>51604753</v>
      </c>
      <c r="I662" s="16"/>
      <c r="J662" s="436">
        <f t="shared" si="539"/>
        <v>3.1373925748038791E-3</v>
      </c>
      <c r="K662" s="16"/>
      <c r="L662" s="16"/>
      <c r="M662" s="16"/>
      <c r="N662" s="16">
        <f t="shared" si="540"/>
        <v>2292768</v>
      </c>
      <c r="O662" s="16">
        <f t="shared" si="541"/>
        <v>79027.186830015315</v>
      </c>
      <c r="P662" s="41"/>
      <c r="Q662" s="17">
        <f t="shared" si="542"/>
        <v>2292768</v>
      </c>
      <c r="R662" s="16"/>
      <c r="S662" s="60">
        <f t="shared" si="543"/>
        <v>0.84789026628270503</v>
      </c>
      <c r="T662" s="16"/>
      <c r="U662" s="41"/>
      <c r="V662" s="10">
        <f t="shared" si="558"/>
        <v>554</v>
      </c>
      <c r="W662" s="34">
        <v>257</v>
      </c>
      <c r="X662" s="33">
        <v>4256</v>
      </c>
      <c r="Y662" s="33"/>
      <c r="Z662" s="33">
        <f t="shared" si="544"/>
        <v>6761</v>
      </c>
      <c r="AA662" s="33">
        <f t="shared" si="545"/>
        <v>767623</v>
      </c>
      <c r="AB662" s="33"/>
      <c r="AC662" s="46">
        <f t="shared" si="546"/>
        <v>1.4875044552582201E-2</v>
      </c>
      <c r="AD662" s="33"/>
      <c r="AE662" s="33">
        <f t="shared" si="547"/>
        <v>1175.5329249617153</v>
      </c>
      <c r="AF662" s="50"/>
      <c r="AG662" s="33"/>
      <c r="AH662" s="33"/>
      <c r="AI662" s="213"/>
      <c r="AJ662" s="50"/>
      <c r="AL662" s="23">
        <f t="shared" si="548"/>
        <v>15733</v>
      </c>
      <c r="AM662" s="24"/>
      <c r="AN662" s="24"/>
      <c r="AO662" s="24">
        <v>178263</v>
      </c>
      <c r="AP662" s="24">
        <v>41518472</v>
      </c>
      <c r="AQ662" s="24">
        <v>20336656</v>
      </c>
      <c r="AR662" s="461">
        <f t="shared" si="549"/>
        <v>3.790834142296006E-4</v>
      </c>
      <c r="AS662" s="25"/>
      <c r="AT662" s="25"/>
      <c r="AU662" s="24"/>
      <c r="AV662" s="298">
        <f t="shared" si="550"/>
        <v>0.80454744158934355</v>
      </c>
      <c r="AW662" s="298"/>
      <c r="AX662" s="24">
        <f t="shared" si="551"/>
        <v>63581.12098009188</v>
      </c>
      <c r="AY662" s="308"/>
      <c r="BA662" s="65">
        <f t="shared" si="552"/>
        <v>475983</v>
      </c>
      <c r="BB662" s="66"/>
      <c r="BC662" s="66">
        <v>813220219</v>
      </c>
      <c r="BD662" s="66"/>
      <c r="BE662" s="66">
        <f t="shared" si="553"/>
        <v>161398</v>
      </c>
      <c r="BF662" s="66"/>
      <c r="BG662" s="144">
        <f t="shared" si="554"/>
        <v>0.33908353869781066</v>
      </c>
      <c r="BH662" s="66"/>
      <c r="BI662" s="170"/>
      <c r="BJ662" s="66"/>
      <c r="BK662" s="66"/>
      <c r="BL662" s="66"/>
      <c r="BM662" s="144"/>
      <c r="BN662" s="65">
        <f t="shared" si="555"/>
        <v>1245360.2128637061</v>
      </c>
      <c r="BO662" s="66"/>
      <c r="BP662" s="66">
        <f t="shared" si="556"/>
        <v>50697775</v>
      </c>
      <c r="BQ662" s="66"/>
      <c r="BR662" s="435">
        <f t="shared" si="557"/>
        <v>6.2342000131701103E-2</v>
      </c>
      <c r="BS662" s="66"/>
      <c r="BT662" s="75"/>
      <c r="BU662" s="170"/>
      <c r="BV662" s="1"/>
      <c r="BW662" s="61">
        <f t="shared" si="399"/>
        <v>653</v>
      </c>
      <c r="CA662" s="56">
        <f>+BA662</f>
        <v>475983</v>
      </c>
      <c r="CC662" s="56">
        <f>+BE662</f>
        <v>161398</v>
      </c>
      <c r="CG662" s="59">
        <f>+CC662/CA662</f>
        <v>0.33908353869781066</v>
      </c>
    </row>
    <row r="663" spans="2:85" x14ac:dyDescent="0.3">
      <c r="B663" s="347">
        <f t="shared" si="537"/>
        <v>44563</v>
      </c>
      <c r="C663" s="61"/>
      <c r="D663" s="17">
        <v>185122</v>
      </c>
      <c r="E663" s="16"/>
      <c r="F663" s="16"/>
      <c r="G663" s="16"/>
      <c r="H663" s="16">
        <f t="shared" si="538"/>
        <v>51789875</v>
      </c>
      <c r="I663" s="16"/>
      <c r="J663" s="436">
        <f t="shared" si="539"/>
        <v>3.587305223609926E-3</v>
      </c>
      <c r="K663" s="16"/>
      <c r="L663" s="16"/>
      <c r="M663" s="16"/>
      <c r="N663" s="16">
        <f t="shared" si="540"/>
        <v>2381506</v>
      </c>
      <c r="O663" s="16">
        <f t="shared" si="541"/>
        <v>79189.411314984711</v>
      </c>
      <c r="P663" s="41"/>
      <c r="Q663" s="17">
        <f t="shared" si="542"/>
        <v>2381506</v>
      </c>
      <c r="R663" s="16"/>
      <c r="S663" s="60">
        <f t="shared" si="543"/>
        <v>0.87463770739824709</v>
      </c>
      <c r="T663" s="16"/>
      <c r="U663" s="41"/>
      <c r="V663" s="10">
        <f t="shared" si="558"/>
        <v>555</v>
      </c>
      <c r="W663" s="34">
        <v>161</v>
      </c>
      <c r="X663" s="33">
        <v>4256</v>
      </c>
      <c r="Y663" s="33"/>
      <c r="Z663" s="33">
        <f t="shared" si="544"/>
        <v>6099</v>
      </c>
      <c r="AA663" s="33">
        <f t="shared" si="545"/>
        <v>767784</v>
      </c>
      <c r="AB663" s="33"/>
      <c r="AC663" s="46">
        <f t="shared" si="546"/>
        <v>1.4824982682425861E-2</v>
      </c>
      <c r="AD663" s="33"/>
      <c r="AE663" s="33">
        <f t="shared" si="547"/>
        <v>1173.9816513761468</v>
      </c>
      <c r="AF663" s="50"/>
      <c r="AG663" s="33"/>
      <c r="AH663" s="33"/>
      <c r="AI663" s="213"/>
      <c r="AJ663" s="50"/>
      <c r="AL663" s="23">
        <f t="shared" si="548"/>
        <v>24588</v>
      </c>
      <c r="AM663" s="24"/>
      <c r="AN663" s="24"/>
      <c r="AO663" s="24">
        <v>178263</v>
      </c>
      <c r="AP663" s="24">
        <v>41543060</v>
      </c>
      <c r="AQ663" s="24">
        <v>20336656</v>
      </c>
      <c r="AR663" s="461">
        <f t="shared" si="549"/>
        <v>5.922183263391774E-4</v>
      </c>
      <c r="AS663" s="25"/>
      <c r="AT663" s="25"/>
      <c r="AU663" s="24"/>
      <c r="AV663" s="298">
        <f t="shared" si="550"/>
        <v>0.80214636548166995</v>
      </c>
      <c r="AW663" s="298"/>
      <c r="AX663" s="24">
        <f t="shared" si="551"/>
        <v>63521.498470948012</v>
      </c>
      <c r="AY663" s="308"/>
      <c r="BA663" s="65">
        <f t="shared" si="552"/>
        <v>605355</v>
      </c>
      <c r="BB663" s="66"/>
      <c r="BC663" s="66">
        <v>813825574</v>
      </c>
      <c r="BD663" s="66"/>
      <c r="BE663" s="66">
        <f t="shared" si="553"/>
        <v>185122</v>
      </c>
      <c r="BF663" s="66"/>
      <c r="BG663" s="144">
        <f t="shared" si="554"/>
        <v>0.30580733619116057</v>
      </c>
      <c r="BH663" s="66"/>
      <c r="BI663" s="170"/>
      <c r="BJ663" s="66"/>
      <c r="BK663" s="66"/>
      <c r="BL663" s="66"/>
      <c r="BM663" s="144"/>
      <c r="BN663" s="65">
        <f t="shared" si="555"/>
        <v>1244381.6116207952</v>
      </c>
      <c r="BO663" s="66"/>
      <c r="BP663" s="66">
        <f t="shared" si="556"/>
        <v>50882897</v>
      </c>
      <c r="BQ663" s="66"/>
      <c r="BR663" s="435">
        <f t="shared" si="557"/>
        <v>6.2523099083637304E-2</v>
      </c>
      <c r="BS663" s="66"/>
      <c r="BT663" s="75"/>
      <c r="BU663" s="170"/>
      <c r="BV663" s="1"/>
      <c r="BW663" s="61">
        <f t="shared" si="399"/>
        <v>654</v>
      </c>
      <c r="CA663" s="56">
        <f t="shared" ref="CA663:CA691" si="559">+BA663</f>
        <v>605355</v>
      </c>
      <c r="CC663" s="56">
        <f t="shared" ref="CC663:CC691" si="560">+BE663</f>
        <v>185122</v>
      </c>
      <c r="CG663" s="59">
        <f t="shared" ref="CG663:CG693" si="561">+CC663/CA663</f>
        <v>0.30580733619116057</v>
      </c>
    </row>
    <row r="664" spans="2:85" x14ac:dyDescent="0.3">
      <c r="B664" s="158">
        <f t="shared" si="537"/>
        <v>44564</v>
      </c>
      <c r="C664" s="61"/>
      <c r="D664" s="17">
        <v>515250</v>
      </c>
      <c r="E664" s="16"/>
      <c r="F664" s="16"/>
      <c r="G664" s="16"/>
      <c r="H664" s="16">
        <f t="shared" si="538"/>
        <v>52305125</v>
      </c>
      <c r="I664" s="16"/>
      <c r="J664" s="436">
        <f t="shared" si="539"/>
        <v>9.9488558333071866E-3</v>
      </c>
      <c r="K664" s="16"/>
      <c r="L664" s="16"/>
      <c r="M664" s="16"/>
      <c r="N664" s="16">
        <f t="shared" si="540"/>
        <v>2667740</v>
      </c>
      <c r="O664" s="16">
        <f t="shared" si="541"/>
        <v>79855.152671755728</v>
      </c>
      <c r="P664" s="41"/>
      <c r="Q664" s="17">
        <f t="shared" si="542"/>
        <v>2667740</v>
      </c>
      <c r="R664" s="16"/>
      <c r="S664" s="60">
        <f t="shared" si="543"/>
        <v>0.96755141355943208</v>
      </c>
      <c r="T664" s="16"/>
      <c r="U664" s="41"/>
      <c r="V664" s="10">
        <f t="shared" si="558"/>
        <v>556</v>
      </c>
      <c r="W664" s="34">
        <v>884</v>
      </c>
      <c r="X664" s="33">
        <v>4256</v>
      </c>
      <c r="Y664" s="33"/>
      <c r="Z664" s="33">
        <f t="shared" si="544"/>
        <v>5171</v>
      </c>
      <c r="AA664" s="33">
        <f t="shared" si="545"/>
        <v>768668</v>
      </c>
      <c r="AB664" s="33"/>
      <c r="AC664" s="46">
        <f t="shared" si="546"/>
        <v>1.469584481444218E-2</v>
      </c>
      <c r="AD664" s="33"/>
      <c r="AE664" s="33">
        <f t="shared" si="547"/>
        <v>1173.53893129771</v>
      </c>
      <c r="AF664" s="50"/>
      <c r="AG664" s="33"/>
      <c r="AH664" s="33"/>
      <c r="AI664" s="213"/>
      <c r="AJ664" s="50"/>
      <c r="AL664" s="23">
        <f t="shared" si="548"/>
        <v>193671</v>
      </c>
      <c r="AM664" s="24"/>
      <c r="AN664" s="24"/>
      <c r="AO664" s="24">
        <v>178263</v>
      </c>
      <c r="AP664" s="24">
        <v>41736731</v>
      </c>
      <c r="AQ664" s="24">
        <v>20336656</v>
      </c>
      <c r="AR664" s="461">
        <f t="shared" si="549"/>
        <v>4.6619339066501118E-3</v>
      </c>
      <c r="AS664" s="25"/>
      <c r="AT664" s="25"/>
      <c r="AU664" s="24"/>
      <c r="AV664" s="298">
        <f t="shared" si="550"/>
        <v>0.797947256602484</v>
      </c>
      <c r="AW664" s="298"/>
      <c r="AX664" s="24">
        <f t="shared" si="551"/>
        <v>63720.2</v>
      </c>
      <c r="AY664" s="308"/>
      <c r="BA664" s="65">
        <f t="shared" si="552"/>
        <v>5604866</v>
      </c>
      <c r="BB664" s="66"/>
      <c r="BC664" s="66">
        <v>819430440</v>
      </c>
      <c r="BD664" s="66"/>
      <c r="BE664" s="66">
        <f t="shared" si="553"/>
        <v>515250</v>
      </c>
      <c r="BF664" s="66"/>
      <c r="BG664" s="144">
        <f t="shared" si="554"/>
        <v>9.1929048794386875E-2</v>
      </c>
      <c r="BH664" s="66"/>
      <c r="BI664" s="170"/>
      <c r="BJ664" s="66"/>
      <c r="BK664" s="66"/>
      <c r="BL664" s="66"/>
      <c r="BM664" s="144"/>
      <c r="BN664" s="65">
        <f t="shared" si="555"/>
        <v>1251038.8396946564</v>
      </c>
      <c r="BO664" s="66"/>
      <c r="BP664" s="66">
        <f t="shared" si="556"/>
        <v>51398147</v>
      </c>
      <c r="BQ664" s="66"/>
      <c r="BR664" s="435">
        <f t="shared" si="557"/>
        <v>6.272423440847523E-2</v>
      </c>
      <c r="BS664" s="66"/>
      <c r="BT664" s="75"/>
      <c r="BU664" s="170"/>
      <c r="BV664" s="1"/>
      <c r="BW664" s="61">
        <f t="shared" si="399"/>
        <v>655</v>
      </c>
      <c r="CA664" s="56">
        <f t="shared" si="559"/>
        <v>5604866</v>
      </c>
      <c r="CC664" s="56">
        <f t="shared" si="560"/>
        <v>515250</v>
      </c>
      <c r="CG664" s="59">
        <f t="shared" si="561"/>
        <v>9.1929048794386875E-2</v>
      </c>
    </row>
    <row r="665" spans="2:85" x14ac:dyDescent="0.3">
      <c r="B665" s="158">
        <f t="shared" si="537"/>
        <v>44565</v>
      </c>
      <c r="C665" s="61"/>
      <c r="D665" s="17">
        <v>595810</v>
      </c>
      <c r="E665" s="16"/>
      <c r="F665" s="16"/>
      <c r="G665" s="16"/>
      <c r="H665" s="16">
        <f t="shared" si="538"/>
        <v>52900935</v>
      </c>
      <c r="I665" s="16"/>
      <c r="J665" s="436">
        <f t="shared" si="539"/>
        <v>1.1391044376626573E-2</v>
      </c>
      <c r="K665" s="16"/>
      <c r="L665" s="16"/>
      <c r="M665" s="16"/>
      <c r="N665" s="16">
        <f t="shared" si="540"/>
        <v>2949117</v>
      </c>
      <c r="O665" s="16">
        <f t="shared" si="541"/>
        <v>80641.669207317071</v>
      </c>
      <c r="P665" s="41"/>
      <c r="Q665" s="17">
        <f t="shared" si="542"/>
        <v>2949117</v>
      </c>
      <c r="R665" s="16"/>
      <c r="S665" s="60">
        <f t="shared" si="543"/>
        <v>0.99659394180657168</v>
      </c>
      <c r="T665" s="16"/>
      <c r="U665" s="41"/>
      <c r="V665" s="10">
        <f t="shared" si="558"/>
        <v>557</v>
      </c>
      <c r="W665" s="34">
        <v>2016</v>
      </c>
      <c r="X665" s="33">
        <v>4256</v>
      </c>
      <c r="Y665" s="33"/>
      <c r="Z665" s="33">
        <f t="shared" si="544"/>
        <v>5396</v>
      </c>
      <c r="AA665" s="33">
        <f t="shared" si="545"/>
        <v>770684</v>
      </c>
      <c r="AB665" s="33"/>
      <c r="AC665" s="46">
        <f t="shared" si="546"/>
        <v>1.4568438157094955E-2</v>
      </c>
      <c r="AD665" s="33"/>
      <c r="AE665" s="33">
        <f t="shared" si="547"/>
        <v>1174.8231707317073</v>
      </c>
      <c r="AF665" s="50"/>
      <c r="AG665" s="33"/>
      <c r="AH665" s="33"/>
      <c r="AI665" s="213"/>
      <c r="AJ665" s="50"/>
      <c r="AL665" s="23">
        <f t="shared" si="548"/>
        <v>169057</v>
      </c>
      <c r="AM665" s="24"/>
      <c r="AN665" s="24"/>
      <c r="AO665" s="24">
        <v>178263</v>
      </c>
      <c r="AP665" s="24">
        <v>41905788</v>
      </c>
      <c r="AQ665" s="24">
        <v>20336656</v>
      </c>
      <c r="AR665" s="461">
        <f t="shared" si="549"/>
        <v>4.0505568104986468E-3</v>
      </c>
      <c r="AS665" s="25"/>
      <c r="AT665" s="25"/>
      <c r="AU665" s="24"/>
      <c r="AV665" s="298">
        <f t="shared" si="550"/>
        <v>0.7921559042387436</v>
      </c>
      <c r="AW665" s="298"/>
      <c r="AX665" s="24">
        <f t="shared" si="551"/>
        <v>63880.774390243903</v>
      </c>
      <c r="AY665" s="308"/>
      <c r="BA665" s="65">
        <f t="shared" si="552"/>
        <v>4175370</v>
      </c>
      <c r="BB665" s="66"/>
      <c r="BC665" s="66">
        <v>823605810</v>
      </c>
      <c r="BD665" s="66"/>
      <c r="BE665" s="66">
        <f t="shared" si="553"/>
        <v>595810</v>
      </c>
      <c r="BF665" s="66"/>
      <c r="BG665" s="144">
        <f t="shared" si="554"/>
        <v>0.14269633589358549</v>
      </c>
      <c r="BH665" s="66"/>
      <c r="BI665" s="170"/>
      <c r="BJ665" s="66"/>
      <c r="BK665" s="66"/>
      <c r="BL665" s="66"/>
      <c r="BM665" s="144"/>
      <c r="BN665" s="65">
        <f t="shared" si="555"/>
        <v>1255496.6615853659</v>
      </c>
      <c r="BO665" s="66"/>
      <c r="BP665" s="66">
        <f t="shared" si="556"/>
        <v>51993957</v>
      </c>
      <c r="BQ665" s="66"/>
      <c r="BR665" s="435">
        <f t="shared" si="557"/>
        <v>6.3129662720567747E-2</v>
      </c>
      <c r="BS665" s="66"/>
      <c r="BT665" s="75"/>
      <c r="BU665" s="170"/>
      <c r="BV665" s="1"/>
      <c r="BW665" s="61">
        <f t="shared" si="399"/>
        <v>656</v>
      </c>
      <c r="CA665" s="56">
        <f t="shared" si="559"/>
        <v>4175370</v>
      </c>
      <c r="CC665" s="56">
        <f t="shared" si="560"/>
        <v>595810</v>
      </c>
      <c r="CG665" s="59">
        <f t="shared" si="561"/>
        <v>0.14269633589358549</v>
      </c>
    </row>
    <row r="666" spans="2:85" x14ac:dyDescent="0.3">
      <c r="B666" s="158">
        <f t="shared" si="537"/>
        <v>44566</v>
      </c>
      <c r="C666" s="61"/>
      <c r="D666" s="17">
        <v>704661</v>
      </c>
      <c r="E666" s="16"/>
      <c r="F666" s="16"/>
      <c r="G666" s="16"/>
      <c r="H666" s="16">
        <f t="shared" si="538"/>
        <v>53605596</v>
      </c>
      <c r="I666" s="16"/>
      <c r="J666" s="436">
        <f t="shared" si="539"/>
        <v>1.3320388382549382E-2</v>
      </c>
      <c r="K666" s="16"/>
      <c r="L666" s="16"/>
      <c r="M666" s="16"/>
      <c r="N666" s="16">
        <f t="shared" si="540"/>
        <v>3177947</v>
      </c>
      <c r="O666" s="16">
        <f t="shared" si="541"/>
        <v>81591.470319634696</v>
      </c>
      <c r="P666" s="41"/>
      <c r="Q666" s="17">
        <f t="shared" si="542"/>
        <v>3177947</v>
      </c>
      <c r="R666" s="16"/>
      <c r="S666" s="60">
        <f t="shared" si="543"/>
        <v>0.84708303642731686</v>
      </c>
      <c r="T666" s="16"/>
      <c r="U666" s="41"/>
      <c r="V666" s="10">
        <f t="shared" si="558"/>
        <v>558</v>
      </c>
      <c r="W666" s="34">
        <v>1802</v>
      </c>
      <c r="X666" s="33">
        <v>4256</v>
      </c>
      <c r="Y666" s="33"/>
      <c r="Z666" s="33">
        <f t="shared" si="544"/>
        <v>5836</v>
      </c>
      <c r="AA666" s="33">
        <f t="shared" si="545"/>
        <v>772486</v>
      </c>
      <c r="AB666" s="33"/>
      <c r="AC666" s="46">
        <f t="shared" si="546"/>
        <v>1.4410547734605917E-2</v>
      </c>
      <c r="AD666" s="33"/>
      <c r="AE666" s="33">
        <f t="shared" si="547"/>
        <v>1175.7777777777778</v>
      </c>
      <c r="AF666" s="50"/>
      <c r="AG666" s="33"/>
      <c r="AH666" s="33"/>
      <c r="AI666" s="213"/>
      <c r="AJ666" s="50"/>
      <c r="AL666" s="23">
        <f t="shared" si="548"/>
        <v>94108</v>
      </c>
      <c r="AM666" s="24"/>
      <c r="AN666" s="24"/>
      <c r="AO666" s="24">
        <v>178263</v>
      </c>
      <c r="AP666" s="24">
        <v>41999896</v>
      </c>
      <c r="AQ666" s="24">
        <v>20336656</v>
      </c>
      <c r="AR666" s="461">
        <f t="shared" si="549"/>
        <v>2.245704101781835E-3</v>
      </c>
      <c r="AS666" s="25"/>
      <c r="AT666" s="25"/>
      <c r="AU666" s="24"/>
      <c r="AV666" s="298">
        <f t="shared" si="550"/>
        <v>0.78349834968722298</v>
      </c>
      <c r="AW666" s="298"/>
      <c r="AX666" s="24">
        <f t="shared" si="551"/>
        <v>63926.782343987827</v>
      </c>
      <c r="AY666" s="308"/>
      <c r="BA666" s="65">
        <f t="shared" si="552"/>
        <v>2980208</v>
      </c>
      <c r="BB666" s="66"/>
      <c r="BC666" s="66">
        <v>826586018</v>
      </c>
      <c r="BD666" s="66"/>
      <c r="BE666" s="66">
        <f t="shared" si="553"/>
        <v>704661</v>
      </c>
      <c r="BF666" s="66"/>
      <c r="BG666" s="144">
        <f t="shared" si="554"/>
        <v>0.2364469191412143</v>
      </c>
      <c r="BH666" s="66"/>
      <c r="BI666" s="170"/>
      <c r="BJ666" s="66"/>
      <c r="BK666" s="66"/>
      <c r="BL666" s="66"/>
      <c r="BM666" s="144"/>
      <c r="BN666" s="65">
        <f t="shared" si="555"/>
        <v>1258121.7929984778</v>
      </c>
      <c r="BO666" s="66"/>
      <c r="BP666" s="66">
        <f t="shared" si="556"/>
        <v>52698618</v>
      </c>
      <c r="BQ666" s="66"/>
      <c r="BR666" s="435">
        <f t="shared" si="557"/>
        <v>6.3754548047533027E-2</v>
      </c>
      <c r="BS666" s="66"/>
      <c r="BT666" s="75"/>
      <c r="BU666" s="170"/>
      <c r="BV666" s="1"/>
      <c r="BW666" s="61">
        <f t="shared" si="399"/>
        <v>657</v>
      </c>
      <c r="CA666" s="56">
        <f t="shared" si="559"/>
        <v>2980208</v>
      </c>
      <c r="CC666" s="56">
        <f t="shared" si="560"/>
        <v>704661</v>
      </c>
      <c r="CG666" s="59">
        <f t="shared" si="561"/>
        <v>0.2364469191412143</v>
      </c>
    </row>
    <row r="667" spans="2:85" x14ac:dyDescent="0.3">
      <c r="B667" s="158">
        <f t="shared" si="537"/>
        <v>44567</v>
      </c>
      <c r="C667" s="61"/>
      <c r="D667" s="17">
        <v>751512</v>
      </c>
      <c r="E667" s="16"/>
      <c r="F667" s="16"/>
      <c r="G667" s="16"/>
      <c r="H667" s="16">
        <f t="shared" si="538"/>
        <v>54357108</v>
      </c>
      <c r="I667" s="16"/>
      <c r="J667" s="436">
        <f t="shared" si="539"/>
        <v>1.401928261370324E-2</v>
      </c>
      <c r="K667" s="16"/>
      <c r="L667" s="16"/>
      <c r="M667" s="16"/>
      <c r="N667" s="16">
        <f t="shared" si="540"/>
        <v>3357430</v>
      </c>
      <c r="O667" s="16">
        <f t="shared" si="541"/>
        <v>82609.586626139819</v>
      </c>
      <c r="P667" s="41"/>
      <c r="Q667" s="17">
        <f t="shared" si="542"/>
        <v>3357430</v>
      </c>
      <c r="R667" s="16"/>
      <c r="S667" s="60">
        <f t="shared" si="543"/>
        <v>0.65775926512949801</v>
      </c>
      <c r="T667" s="16"/>
      <c r="U667" s="41"/>
      <c r="V667" s="10">
        <f t="shared" si="558"/>
        <v>559</v>
      </c>
      <c r="W667" s="34">
        <v>2143</v>
      </c>
      <c r="X667" s="33">
        <v>4256</v>
      </c>
      <c r="Y667" s="33"/>
      <c r="Z667" s="33">
        <f t="shared" si="544"/>
        <v>7263</v>
      </c>
      <c r="AA667" s="33">
        <f t="shared" si="545"/>
        <v>774629</v>
      </c>
      <c r="AB667" s="33"/>
      <c r="AC667" s="46">
        <f t="shared" si="546"/>
        <v>1.4250739756059134E-2</v>
      </c>
      <c r="AD667" s="33"/>
      <c r="AE667" s="33">
        <f t="shared" si="547"/>
        <v>1177.2477203647416</v>
      </c>
      <c r="AF667" s="50"/>
      <c r="AG667" s="33"/>
      <c r="AH667" s="33"/>
      <c r="AI667" s="213"/>
      <c r="AJ667" s="50"/>
      <c r="AL667" s="23">
        <f t="shared" si="548"/>
        <v>89302</v>
      </c>
      <c r="AM667" s="24"/>
      <c r="AN667" s="24"/>
      <c r="AO667" s="24">
        <v>178263</v>
      </c>
      <c r="AP667" s="24">
        <v>42089198</v>
      </c>
      <c r="AQ667" s="24">
        <v>20336656</v>
      </c>
      <c r="AR667" s="461">
        <f t="shared" si="549"/>
        <v>2.126243360221654E-3</v>
      </c>
      <c r="AS667" s="25"/>
      <c r="AT667" s="25"/>
      <c r="AU667" s="24"/>
      <c r="AV667" s="298">
        <f t="shared" si="550"/>
        <v>0.77430900113376155</v>
      </c>
      <c r="AW667" s="298"/>
      <c r="AX667" s="24">
        <f t="shared" si="551"/>
        <v>63965.346504559267</v>
      </c>
      <c r="AY667" s="308"/>
      <c r="BA667" s="65">
        <f t="shared" si="552"/>
        <v>2851377</v>
      </c>
      <c r="BB667" s="66"/>
      <c r="BC667" s="66">
        <v>829437395</v>
      </c>
      <c r="BD667" s="66"/>
      <c r="BE667" s="66">
        <f t="shared" si="553"/>
        <v>751512</v>
      </c>
      <c r="BF667" s="66"/>
      <c r="BG667" s="144">
        <f t="shared" si="554"/>
        <v>0.26356107943635654</v>
      </c>
      <c r="BH667" s="66"/>
      <c r="BI667" s="170"/>
      <c r="BJ667" s="66"/>
      <c r="BK667" s="66"/>
      <c r="BL667" s="66"/>
      <c r="BM667" s="144"/>
      <c r="BN667" s="65">
        <f t="shared" si="555"/>
        <v>1260543.1534954407</v>
      </c>
      <c r="BO667" s="66"/>
      <c r="BP667" s="66">
        <f t="shared" si="556"/>
        <v>53450130</v>
      </c>
      <c r="BQ667" s="66"/>
      <c r="BR667" s="435">
        <f t="shared" si="557"/>
        <v>6.4441427794559469E-2</v>
      </c>
      <c r="BS667" s="66"/>
      <c r="BT667" s="75"/>
      <c r="BU667" s="170"/>
      <c r="BV667" s="1"/>
      <c r="BW667" s="61">
        <f t="shared" si="399"/>
        <v>658</v>
      </c>
      <c r="CA667" s="56">
        <f t="shared" si="559"/>
        <v>2851377</v>
      </c>
      <c r="CC667" s="56">
        <f t="shared" si="560"/>
        <v>751512</v>
      </c>
      <c r="CG667" s="59">
        <f t="shared" si="561"/>
        <v>0.26356107943635654</v>
      </c>
    </row>
    <row r="668" spans="2:85" x14ac:dyDescent="0.3">
      <c r="B668" s="158">
        <f t="shared" si="537"/>
        <v>44568</v>
      </c>
      <c r="C668" s="61"/>
      <c r="D668" s="17">
        <v>849181</v>
      </c>
      <c r="E668" s="16"/>
      <c r="F668" s="16"/>
      <c r="G668" s="16"/>
      <c r="H668" s="16">
        <f t="shared" si="538"/>
        <v>55206289</v>
      </c>
      <c r="I668" s="16"/>
      <c r="J668" s="436">
        <f t="shared" si="539"/>
        <v>1.5622262317561118E-2</v>
      </c>
      <c r="K668" s="16"/>
      <c r="L668" s="16"/>
      <c r="M668" s="16"/>
      <c r="N668" s="16">
        <f t="shared" si="540"/>
        <v>3762934</v>
      </c>
      <c r="O668" s="16">
        <f t="shared" si="541"/>
        <v>83772.820940819423</v>
      </c>
      <c r="P668" s="41"/>
      <c r="Q668" s="17">
        <f t="shared" si="542"/>
        <v>3762934</v>
      </c>
      <c r="R668" s="16"/>
      <c r="S668" s="60">
        <f t="shared" si="543"/>
        <v>0.67047216637360008</v>
      </c>
      <c r="T668" s="16"/>
      <c r="U668" s="41"/>
      <c r="V668" s="10">
        <f t="shared" si="558"/>
        <v>560</v>
      </c>
      <c r="W668" s="34">
        <v>2025</v>
      </c>
      <c r="X668" s="33">
        <v>4256</v>
      </c>
      <c r="Y668" s="33"/>
      <c r="Z668" s="33">
        <f t="shared" si="544"/>
        <v>9031</v>
      </c>
      <c r="AA668" s="33">
        <f t="shared" si="545"/>
        <v>776654</v>
      </c>
      <c r="AB668" s="33"/>
      <c r="AC668" s="46">
        <f t="shared" si="546"/>
        <v>1.4068216032416161E-2</v>
      </c>
      <c r="AD668" s="33"/>
      <c r="AE668" s="33">
        <f t="shared" si="547"/>
        <v>1178.5341426403643</v>
      </c>
      <c r="AF668" s="50"/>
      <c r="AG668" s="33"/>
      <c r="AH668" s="33"/>
      <c r="AI668" s="213"/>
      <c r="AJ668" s="50"/>
      <c r="AL668" s="23">
        <f t="shared" si="548"/>
        <v>83053</v>
      </c>
      <c r="AM668" s="24"/>
      <c r="AN668" s="24"/>
      <c r="AO668" s="24">
        <v>178263</v>
      </c>
      <c r="AP668" s="24">
        <v>42172251</v>
      </c>
      <c r="AQ668" s="24">
        <v>20336656</v>
      </c>
      <c r="AR668" s="461">
        <f t="shared" si="549"/>
        <v>1.9732616430467504E-3</v>
      </c>
      <c r="AS668" s="25"/>
      <c r="AT668" s="25"/>
      <c r="AU668" s="24"/>
      <c r="AV668" s="298">
        <f t="shared" si="550"/>
        <v>0.76390302199084603</v>
      </c>
      <c r="AW668" s="298"/>
      <c r="AX668" s="24">
        <f t="shared" si="551"/>
        <v>63994.311077389983</v>
      </c>
      <c r="AY668" s="308"/>
      <c r="BA668" s="65">
        <f t="shared" si="552"/>
        <v>3142131</v>
      </c>
      <c r="BB668" s="66"/>
      <c r="BC668" s="66">
        <v>832579526</v>
      </c>
      <c r="BD668" s="66"/>
      <c r="BE668" s="66">
        <f t="shared" si="553"/>
        <v>849181</v>
      </c>
      <c r="BF668" s="66"/>
      <c r="BG668" s="144">
        <f t="shared" si="554"/>
        <v>0.27025639605732543</v>
      </c>
      <c r="BH668" s="66"/>
      <c r="BI668" s="170"/>
      <c r="BJ668" s="66"/>
      <c r="BK668" s="66"/>
      <c r="BL668" s="66"/>
      <c r="BM668" s="144"/>
      <c r="BN668" s="65">
        <f t="shared" si="555"/>
        <v>1263398.3702579667</v>
      </c>
      <c r="BO668" s="66"/>
      <c r="BP668" s="66">
        <f t="shared" si="556"/>
        <v>54299311</v>
      </c>
      <c r="BQ668" s="66"/>
      <c r="BR668" s="435">
        <f t="shared" si="557"/>
        <v>6.5218167519531342E-2</v>
      </c>
      <c r="BS668" s="66"/>
      <c r="BT668" s="75"/>
      <c r="BU668" s="170"/>
      <c r="BV668" s="1"/>
      <c r="BW668" s="61">
        <f t="shared" si="399"/>
        <v>659</v>
      </c>
      <c r="CA668" s="56">
        <f t="shared" si="559"/>
        <v>3142131</v>
      </c>
      <c r="CC668" s="56">
        <f t="shared" si="560"/>
        <v>849181</v>
      </c>
      <c r="CG668" s="59">
        <f t="shared" si="561"/>
        <v>0.27025639605732543</v>
      </c>
    </row>
    <row r="669" spans="2:85" x14ac:dyDescent="0.3">
      <c r="B669" s="158">
        <f t="shared" si="537"/>
        <v>44569</v>
      </c>
      <c r="C669" s="61"/>
      <c r="D669" s="17">
        <v>468081</v>
      </c>
      <c r="E669" s="16"/>
      <c r="F669" s="16"/>
      <c r="G669" s="16"/>
      <c r="H669" s="16">
        <f t="shared" si="538"/>
        <v>55674370</v>
      </c>
      <c r="I669" s="16"/>
      <c r="J669" s="436">
        <f t="shared" si="539"/>
        <v>8.4787622656541904E-3</v>
      </c>
      <c r="K669" s="16"/>
      <c r="L669" s="16"/>
      <c r="M669" s="16"/>
      <c r="N669" s="16">
        <f t="shared" si="540"/>
        <v>4069617</v>
      </c>
      <c r="O669" s="16">
        <f t="shared" si="541"/>
        <v>84355.106060606064</v>
      </c>
      <c r="P669" s="41"/>
      <c r="Q669" s="17">
        <f t="shared" si="542"/>
        <v>4069617</v>
      </c>
      <c r="R669" s="16"/>
      <c r="S669" s="60">
        <f t="shared" si="543"/>
        <v>0.77497984968387557</v>
      </c>
      <c r="T669" s="16"/>
      <c r="U669" s="41"/>
      <c r="V669" s="10">
        <f t="shared" si="558"/>
        <v>561</v>
      </c>
      <c r="W669" s="34">
        <v>669</v>
      </c>
      <c r="X669" s="33">
        <v>4256</v>
      </c>
      <c r="Y669" s="33"/>
      <c r="Z669" s="33">
        <f t="shared" si="544"/>
        <v>9539</v>
      </c>
      <c r="AA669" s="33">
        <f t="shared" si="545"/>
        <v>777323</v>
      </c>
      <c r="AB669" s="33"/>
      <c r="AC669" s="46">
        <f t="shared" si="546"/>
        <v>1.3961954127186352E-2</v>
      </c>
      <c r="AD669" s="33"/>
      <c r="AE669" s="33">
        <f t="shared" si="547"/>
        <v>1177.7621212121212</v>
      </c>
      <c r="AF669" s="50"/>
      <c r="AG669" s="33"/>
      <c r="AH669" s="33"/>
      <c r="AI669" s="213"/>
      <c r="AJ669" s="50"/>
      <c r="AL669" s="23">
        <f t="shared" si="548"/>
        <v>48922</v>
      </c>
      <c r="AM669" s="24"/>
      <c r="AN669" s="24"/>
      <c r="AO669" s="24">
        <v>178263</v>
      </c>
      <c r="AP669" s="24">
        <v>42221173</v>
      </c>
      <c r="AQ669" s="24">
        <v>20336656</v>
      </c>
      <c r="AR669" s="461">
        <f t="shared" si="549"/>
        <v>1.1600519023753321E-3</v>
      </c>
      <c r="AS669" s="25"/>
      <c r="AT669" s="25"/>
      <c r="AU669" s="24"/>
      <c r="AV669" s="298">
        <f t="shared" si="550"/>
        <v>0.75835924142473454</v>
      </c>
      <c r="AW669" s="298"/>
      <c r="AX669" s="24">
        <f t="shared" si="551"/>
        <v>63971.474242424243</v>
      </c>
      <c r="AY669" s="308"/>
      <c r="BA669" s="65">
        <f t="shared" si="552"/>
        <v>1033652</v>
      </c>
      <c r="BB669" s="66"/>
      <c r="BC669" s="66">
        <v>833613178</v>
      </c>
      <c r="BD669" s="66"/>
      <c r="BE669" s="66">
        <f t="shared" si="553"/>
        <v>468081</v>
      </c>
      <c r="BF669" s="66"/>
      <c r="BG669" s="144">
        <f t="shared" si="554"/>
        <v>0.45284196228517914</v>
      </c>
      <c r="BH669" s="66"/>
      <c r="BI669" s="170"/>
      <c r="BJ669" s="66"/>
      <c r="BK669" s="66"/>
      <c r="BL669" s="66"/>
      <c r="BM669" s="144"/>
      <c r="BN669" s="65">
        <f t="shared" si="555"/>
        <v>1263050.2696969698</v>
      </c>
      <c r="BO669" s="66"/>
      <c r="BP669" s="66">
        <f t="shared" si="556"/>
        <v>54767392</v>
      </c>
      <c r="BQ669" s="66"/>
      <c r="BR669" s="435">
        <f t="shared" si="557"/>
        <v>6.569880784682125E-2</v>
      </c>
      <c r="BS669" s="66"/>
      <c r="BT669" s="75"/>
      <c r="BU669" s="170"/>
      <c r="BV669" s="1"/>
      <c r="BW669" s="61">
        <f t="shared" si="399"/>
        <v>660</v>
      </c>
      <c r="CA669" s="56">
        <f t="shared" si="559"/>
        <v>1033652</v>
      </c>
      <c r="CC669" s="56">
        <f t="shared" si="560"/>
        <v>468081</v>
      </c>
      <c r="CG669" s="59">
        <f t="shared" si="561"/>
        <v>0.45284196228517914</v>
      </c>
    </row>
    <row r="670" spans="2:85" x14ac:dyDescent="0.3">
      <c r="B670" s="347">
        <f t="shared" si="537"/>
        <v>44570</v>
      </c>
      <c r="C670" s="61"/>
      <c r="D670" s="17">
        <v>552547</v>
      </c>
      <c r="E670" s="16"/>
      <c r="F670" s="16"/>
      <c r="G670" s="16"/>
      <c r="H670" s="16">
        <f t="shared" si="538"/>
        <v>56226917</v>
      </c>
      <c r="I670" s="16"/>
      <c r="J670" s="436">
        <f t="shared" si="539"/>
        <v>9.9246206108843261E-3</v>
      </c>
      <c r="K670" s="16"/>
      <c r="L670" s="16"/>
      <c r="M670" s="16"/>
      <c r="N670" s="16">
        <f t="shared" si="540"/>
        <v>4437042</v>
      </c>
      <c r="O670" s="16">
        <f t="shared" si="541"/>
        <v>85063.414523449319</v>
      </c>
      <c r="P670" s="41"/>
      <c r="Q670" s="17">
        <f t="shared" si="542"/>
        <v>4437042</v>
      </c>
      <c r="R670" s="16"/>
      <c r="S670" s="60">
        <f t="shared" si="543"/>
        <v>0.86312442630839481</v>
      </c>
      <c r="T670" s="16"/>
      <c r="U670" s="41"/>
      <c r="V670" s="10">
        <f t="shared" si="558"/>
        <v>562</v>
      </c>
      <c r="W670" s="34">
        <v>464</v>
      </c>
      <c r="X670" s="33">
        <v>4256</v>
      </c>
      <c r="Y670" s="33"/>
      <c r="Z670" s="33">
        <f t="shared" si="544"/>
        <v>9119</v>
      </c>
      <c r="AA670" s="33">
        <f t="shared" si="545"/>
        <v>777787</v>
      </c>
      <c r="AB670" s="33"/>
      <c r="AC670" s="46">
        <f t="shared" si="546"/>
        <v>1.3833001016221466E-2</v>
      </c>
      <c r="AD670" s="33"/>
      <c r="AE670" s="33">
        <f t="shared" si="547"/>
        <v>1176.6822995461423</v>
      </c>
      <c r="AF670" s="50"/>
      <c r="AG670" s="33"/>
      <c r="AH670" s="33"/>
      <c r="AI670" s="213"/>
      <c r="AJ670" s="50"/>
      <c r="AL670" s="23">
        <f t="shared" si="548"/>
        <v>38132</v>
      </c>
      <c r="AM670" s="24"/>
      <c r="AN670" s="24"/>
      <c r="AO670" s="24">
        <v>178263</v>
      </c>
      <c r="AP670" s="24">
        <v>42259305</v>
      </c>
      <c r="AQ670" s="24">
        <v>20336656</v>
      </c>
      <c r="AR670" s="461">
        <f t="shared" si="549"/>
        <v>9.031487590361357E-4</v>
      </c>
      <c r="AS670" s="25"/>
      <c r="AT670" s="25"/>
      <c r="AU670" s="24"/>
      <c r="AV670" s="298">
        <f t="shared" si="550"/>
        <v>0.75158495707669692</v>
      </c>
      <c r="AW670" s="298"/>
      <c r="AX670" s="24">
        <f t="shared" si="551"/>
        <v>63932.38275340393</v>
      </c>
      <c r="AY670" s="308"/>
      <c r="BA670" s="65">
        <f t="shared" si="552"/>
        <v>1980996</v>
      </c>
      <c r="BB670" s="66"/>
      <c r="BC670" s="66">
        <v>835594174</v>
      </c>
      <c r="BD670" s="66"/>
      <c r="BE670" s="66">
        <f t="shared" si="553"/>
        <v>552547</v>
      </c>
      <c r="BF670" s="66"/>
      <c r="BG670" s="144">
        <f t="shared" si="554"/>
        <v>0.27892383427326456</v>
      </c>
      <c r="BH670" s="66"/>
      <c r="BI670" s="170"/>
      <c r="BJ670" s="66"/>
      <c r="BK670" s="66"/>
      <c r="BL670" s="66"/>
      <c r="BM670" s="144"/>
      <c r="BN670" s="65">
        <f t="shared" si="555"/>
        <v>1264136.4205748865</v>
      </c>
      <c r="BO670" s="66"/>
      <c r="BP670" s="66">
        <f t="shared" si="556"/>
        <v>55319939</v>
      </c>
      <c r="BQ670" s="66"/>
      <c r="BR670" s="435">
        <f t="shared" si="557"/>
        <v>6.6204313913754018E-2</v>
      </c>
      <c r="BS670" s="66"/>
      <c r="BT670" s="75"/>
      <c r="BU670" s="170"/>
      <c r="BV670" s="1"/>
      <c r="BW670" s="61">
        <f t="shared" si="399"/>
        <v>661</v>
      </c>
      <c r="CA670" s="56">
        <f t="shared" si="559"/>
        <v>1980996</v>
      </c>
      <c r="CC670" s="56">
        <f t="shared" si="560"/>
        <v>552547</v>
      </c>
      <c r="CG670" s="59">
        <f t="shared" si="561"/>
        <v>0.27892383427326456</v>
      </c>
    </row>
    <row r="671" spans="2:85" x14ac:dyDescent="0.3">
      <c r="B671" s="158">
        <f t="shared" si="537"/>
        <v>44571</v>
      </c>
      <c r="C671" s="61"/>
      <c r="D671" s="17">
        <v>692000</v>
      </c>
      <c r="E671" s="16"/>
      <c r="F671" s="16"/>
      <c r="G671" s="16"/>
      <c r="H671" s="16">
        <f t="shared" si="538"/>
        <v>56918917</v>
      </c>
      <c r="I671" s="16"/>
      <c r="J671" s="436">
        <f t="shared" si="539"/>
        <v>1.230727268934201E-2</v>
      </c>
      <c r="K671" s="16"/>
      <c r="L671" s="16"/>
      <c r="M671" s="16"/>
      <c r="N671" s="16">
        <f t="shared" si="540"/>
        <v>4613792</v>
      </c>
      <c r="O671" s="16">
        <f t="shared" si="541"/>
        <v>85980.237160120843</v>
      </c>
      <c r="P671" s="41"/>
      <c r="Q671" s="17">
        <f t="shared" si="542"/>
        <v>4613792</v>
      </c>
      <c r="R671" s="16"/>
      <c r="S671" s="60">
        <f t="shared" si="543"/>
        <v>0.72947588595590274</v>
      </c>
      <c r="T671" s="16"/>
      <c r="U671" s="41"/>
      <c r="V671" s="10">
        <f t="shared" si="558"/>
        <v>563</v>
      </c>
      <c r="W671" s="34">
        <v>1145</v>
      </c>
      <c r="X671" s="33">
        <v>4256</v>
      </c>
      <c r="Y671" s="33"/>
      <c r="Z671" s="33">
        <f t="shared" si="544"/>
        <v>8248</v>
      </c>
      <c r="AA671" s="33">
        <f t="shared" si="545"/>
        <v>778932</v>
      </c>
      <c r="AB671" s="33"/>
      <c r="AC671" s="46">
        <f t="shared" si="546"/>
        <v>1.3684940632303317E-2</v>
      </c>
      <c r="AD671" s="33"/>
      <c r="AE671" s="33">
        <f t="shared" si="547"/>
        <v>1176.6344410876134</v>
      </c>
      <c r="AF671" s="50"/>
      <c r="AG671" s="33"/>
      <c r="AH671" s="33"/>
      <c r="AI671" s="213"/>
      <c r="AJ671" s="50"/>
      <c r="AL671" s="23">
        <f t="shared" si="548"/>
        <v>246069</v>
      </c>
      <c r="AM671" s="24"/>
      <c r="AN671" s="24"/>
      <c r="AO671" s="24">
        <v>178263</v>
      </c>
      <c r="AP671" s="24">
        <v>42505374</v>
      </c>
      <c r="AQ671" s="24">
        <v>20336656</v>
      </c>
      <c r="AR671" s="461">
        <f t="shared" si="549"/>
        <v>5.8228359411022024E-3</v>
      </c>
      <c r="AS671" s="25"/>
      <c r="AT671" s="25"/>
      <c r="AU671" s="24"/>
      <c r="AV671" s="298">
        <f t="shared" si="550"/>
        <v>0.74677060352360536</v>
      </c>
      <c r="AW671" s="298"/>
      <c r="AX671" s="24">
        <f t="shared" si="551"/>
        <v>64207.513595166165</v>
      </c>
      <c r="AY671" s="308"/>
      <c r="BA671" s="65">
        <f t="shared" si="552"/>
        <v>6064001</v>
      </c>
      <c r="BB671" s="66"/>
      <c r="BC671" s="66">
        <v>841658175</v>
      </c>
      <c r="BD671" s="66"/>
      <c r="BE671" s="66">
        <f t="shared" si="553"/>
        <v>692000</v>
      </c>
      <c r="BF671" s="66"/>
      <c r="BG671" s="144">
        <f t="shared" si="554"/>
        <v>0.11411607616819325</v>
      </c>
      <c r="BH671" s="66"/>
      <c r="BI671" s="170"/>
      <c r="BJ671" s="66"/>
      <c r="BK671" s="66"/>
      <c r="BL671" s="66"/>
      <c r="BM671" s="144"/>
      <c r="BN671" s="65">
        <f t="shared" si="555"/>
        <v>1271386.9712990937</v>
      </c>
      <c r="BO671" s="66"/>
      <c r="BP671" s="66">
        <f t="shared" si="556"/>
        <v>56011939</v>
      </c>
      <c r="BQ671" s="66"/>
      <c r="BR671" s="435">
        <f t="shared" si="557"/>
        <v>6.654950984109434E-2</v>
      </c>
      <c r="BS671" s="66"/>
      <c r="BT671" s="75"/>
      <c r="BU671" s="170"/>
      <c r="BV671" s="1"/>
      <c r="BW671" s="61">
        <f t="shared" si="399"/>
        <v>662</v>
      </c>
      <c r="CA671" s="56">
        <f t="shared" si="559"/>
        <v>6064001</v>
      </c>
      <c r="CC671" s="56">
        <f t="shared" si="560"/>
        <v>692000</v>
      </c>
      <c r="CG671" s="59">
        <f t="shared" si="561"/>
        <v>0.11411607616819325</v>
      </c>
    </row>
    <row r="672" spans="2:85" x14ac:dyDescent="0.3">
      <c r="B672" s="158">
        <f t="shared" si="537"/>
        <v>44572</v>
      </c>
      <c r="C672" s="61"/>
      <c r="D672" s="17">
        <v>672872</v>
      </c>
      <c r="E672" s="16"/>
      <c r="F672" s="16"/>
      <c r="G672" s="16"/>
      <c r="H672" s="16">
        <f t="shared" si="538"/>
        <v>57591789</v>
      </c>
      <c r="I672" s="16"/>
      <c r="J672" s="436">
        <f t="shared" si="539"/>
        <v>1.1821588242798085E-2</v>
      </c>
      <c r="K672" s="16"/>
      <c r="L672" s="16"/>
      <c r="M672" s="16"/>
      <c r="N672" s="16">
        <f t="shared" si="540"/>
        <v>4690854</v>
      </c>
      <c r="O672" s="16">
        <f t="shared" si="541"/>
        <v>86865.443438914022</v>
      </c>
      <c r="P672" s="41"/>
      <c r="Q672" s="17">
        <f t="shared" si="542"/>
        <v>4690854</v>
      </c>
      <c r="R672" s="16"/>
      <c r="S672" s="60">
        <f t="shared" si="543"/>
        <v>0.59059610045990041</v>
      </c>
      <c r="T672" s="16"/>
      <c r="U672" s="41"/>
      <c r="V672" s="10">
        <f t="shared" si="558"/>
        <v>564</v>
      </c>
      <c r="W672" s="34">
        <v>2173</v>
      </c>
      <c r="X672" s="33">
        <v>4256</v>
      </c>
      <c r="Y672" s="33"/>
      <c r="Z672" s="33">
        <f t="shared" si="544"/>
        <v>8619</v>
      </c>
      <c r="AA672" s="33">
        <f t="shared" si="545"/>
        <v>781105</v>
      </c>
      <c r="AB672" s="33"/>
      <c r="AC672" s="46">
        <f t="shared" si="546"/>
        <v>1.3562784097573354E-2</v>
      </c>
      <c r="AD672" s="33"/>
      <c r="AE672" s="33">
        <f t="shared" si="547"/>
        <v>1178.1372549019609</v>
      </c>
      <c r="AF672" s="50"/>
      <c r="AG672" s="33"/>
      <c r="AH672" s="33"/>
      <c r="AI672" s="213"/>
      <c r="AJ672" s="50"/>
      <c r="AL672" s="23">
        <f t="shared" si="548"/>
        <v>136478</v>
      </c>
      <c r="AM672" s="24"/>
      <c r="AN672" s="24"/>
      <c r="AO672" s="24">
        <v>178263</v>
      </c>
      <c r="AP672" s="24">
        <v>42641852</v>
      </c>
      <c r="AQ672" s="24">
        <v>20336656</v>
      </c>
      <c r="AR672" s="461">
        <f t="shared" si="549"/>
        <v>3.2108410574154694E-3</v>
      </c>
      <c r="AS672" s="25"/>
      <c r="AT672" s="25"/>
      <c r="AU672" s="24"/>
      <c r="AV672" s="298">
        <f t="shared" si="550"/>
        <v>0.74041547832452292</v>
      </c>
      <c r="AW672" s="298"/>
      <c r="AX672" s="24">
        <f t="shared" si="551"/>
        <v>64316.518853695321</v>
      </c>
      <c r="AY672" s="308"/>
      <c r="BA672" s="65">
        <f t="shared" si="552"/>
        <v>3056100</v>
      </c>
      <c r="BB672" s="66"/>
      <c r="BC672" s="66">
        <v>844714275</v>
      </c>
      <c r="BD672" s="66"/>
      <c r="BE672" s="66">
        <f t="shared" si="553"/>
        <v>672872</v>
      </c>
      <c r="BF672" s="66"/>
      <c r="BG672" s="144">
        <f t="shared" si="554"/>
        <v>0.22017342364451425</v>
      </c>
      <c r="BH672" s="66"/>
      <c r="BI672" s="170"/>
      <c r="BJ672" s="66"/>
      <c r="BK672" s="66"/>
      <c r="BL672" s="66"/>
      <c r="BM672" s="144"/>
      <c r="BN672" s="65">
        <f t="shared" si="555"/>
        <v>1274078.8461538462</v>
      </c>
      <c r="BO672" s="66"/>
      <c r="BP672" s="66">
        <f t="shared" si="556"/>
        <v>56684811</v>
      </c>
      <c r="BQ672" s="66"/>
      <c r="BR672" s="435">
        <f t="shared" si="557"/>
        <v>6.7105307294587871E-2</v>
      </c>
      <c r="BS672" s="66"/>
      <c r="BT672" s="75"/>
      <c r="BU672" s="170"/>
      <c r="BV672" s="1"/>
      <c r="BW672" s="61">
        <f t="shared" si="399"/>
        <v>663</v>
      </c>
      <c r="CA672" s="56">
        <f t="shared" si="559"/>
        <v>3056100</v>
      </c>
      <c r="CC672" s="56">
        <f t="shared" si="560"/>
        <v>672872</v>
      </c>
      <c r="CG672" s="59">
        <f t="shared" si="561"/>
        <v>0.22017342364451425</v>
      </c>
    </row>
    <row r="673" spans="2:85" x14ac:dyDescent="0.3">
      <c r="B673" s="158">
        <f t="shared" si="537"/>
        <v>44573</v>
      </c>
      <c r="C673" s="61"/>
      <c r="D673" s="17">
        <v>872475</v>
      </c>
      <c r="E673" s="16"/>
      <c r="F673" s="16"/>
      <c r="G673" s="16"/>
      <c r="H673" s="16">
        <f t="shared" si="538"/>
        <v>58464264</v>
      </c>
      <c r="I673" s="16"/>
      <c r="J673" s="436">
        <f t="shared" si="539"/>
        <v>1.5149294980227129E-2</v>
      </c>
      <c r="K673" s="16"/>
      <c r="L673" s="16"/>
      <c r="M673" s="16"/>
      <c r="N673" s="16">
        <f t="shared" si="540"/>
        <v>4858668</v>
      </c>
      <c r="O673" s="16">
        <f t="shared" si="541"/>
        <v>88048.590361445778</v>
      </c>
      <c r="P673" s="41"/>
      <c r="Q673" s="17">
        <f t="shared" si="542"/>
        <v>4858668</v>
      </c>
      <c r="R673" s="16"/>
      <c r="S673" s="60">
        <f t="shared" si="543"/>
        <v>0.52887005352826844</v>
      </c>
      <c r="T673" s="16"/>
      <c r="U673" s="41"/>
      <c r="V673" s="10">
        <f t="shared" si="558"/>
        <v>565</v>
      </c>
      <c r="W673" s="34">
        <v>2372</v>
      </c>
      <c r="X673" s="33">
        <v>4256</v>
      </c>
      <c r="Y673" s="33"/>
      <c r="Z673" s="33">
        <f t="shared" si="544"/>
        <v>8848</v>
      </c>
      <c r="AA673" s="33">
        <f t="shared" si="545"/>
        <v>783477</v>
      </c>
      <c r="AB673" s="33"/>
      <c r="AC673" s="46">
        <f t="shared" si="546"/>
        <v>1.3400955496506379E-2</v>
      </c>
      <c r="AD673" s="33"/>
      <c r="AE673" s="33">
        <f t="shared" si="547"/>
        <v>1179.9352409638554</v>
      </c>
      <c r="AF673" s="50"/>
      <c r="AG673" s="33"/>
      <c r="AH673" s="33"/>
      <c r="AI673" s="213"/>
      <c r="AJ673" s="50"/>
      <c r="AL673" s="23">
        <f t="shared" si="548"/>
        <v>163238</v>
      </c>
      <c r="AM673" s="24"/>
      <c r="AN673" s="24"/>
      <c r="AO673" s="24">
        <v>178263</v>
      </c>
      <c r="AP673" s="24">
        <v>42805090</v>
      </c>
      <c r="AQ673" s="24">
        <v>20336656</v>
      </c>
      <c r="AR673" s="461">
        <f t="shared" si="549"/>
        <v>3.8281170339412086E-3</v>
      </c>
      <c r="AS673" s="25"/>
      <c r="AT673" s="25"/>
      <c r="AU673" s="24"/>
      <c r="AV673" s="298">
        <f t="shared" si="550"/>
        <v>0.73215819496162649</v>
      </c>
      <c r="AW673" s="298"/>
      <c r="AX673" s="24">
        <f t="shared" si="551"/>
        <v>64465.49698795181</v>
      </c>
      <c r="AY673" s="308"/>
      <c r="BA673" s="65">
        <f t="shared" si="552"/>
        <v>4380467</v>
      </c>
      <c r="BB673" s="66"/>
      <c r="BC673" s="66">
        <v>849094742</v>
      </c>
      <c r="BD673" s="66"/>
      <c r="BE673" s="66">
        <f t="shared" si="553"/>
        <v>872475</v>
      </c>
      <c r="BF673" s="66"/>
      <c r="BG673" s="144">
        <f t="shared" si="554"/>
        <v>0.19917396935075643</v>
      </c>
      <c r="BH673" s="66"/>
      <c r="BI673" s="170"/>
      <c r="BJ673" s="66"/>
      <c r="BK673" s="66"/>
      <c r="BL673" s="66"/>
      <c r="BM673" s="144"/>
      <c r="BN673" s="65">
        <f t="shared" si="555"/>
        <v>1278757.1415662651</v>
      </c>
      <c r="BO673" s="66"/>
      <c r="BP673" s="66">
        <f t="shared" si="556"/>
        <v>57557286</v>
      </c>
      <c r="BQ673" s="66"/>
      <c r="BR673" s="435">
        <f t="shared" si="557"/>
        <v>6.7786647535264088E-2</v>
      </c>
      <c r="BS673" s="66"/>
      <c r="BT673" s="75"/>
      <c r="BU673" s="170"/>
      <c r="BV673" s="1"/>
      <c r="BW673" s="61">
        <f t="shared" si="399"/>
        <v>664</v>
      </c>
      <c r="CA673" s="56">
        <f t="shared" si="559"/>
        <v>4380467</v>
      </c>
      <c r="CC673" s="56">
        <f t="shared" si="560"/>
        <v>872475</v>
      </c>
      <c r="CG673" s="59">
        <f t="shared" si="561"/>
        <v>0.19917396935075643</v>
      </c>
    </row>
    <row r="674" spans="2:85" x14ac:dyDescent="0.3">
      <c r="B674" s="158">
        <f t="shared" si="537"/>
        <v>44574</v>
      </c>
      <c r="C674" s="61"/>
      <c r="D674" s="17">
        <v>806493</v>
      </c>
      <c r="E674" s="16"/>
      <c r="F674" s="16"/>
      <c r="G674" s="16"/>
      <c r="H674" s="16">
        <f t="shared" si="538"/>
        <v>59270757</v>
      </c>
      <c r="I674" s="16"/>
      <c r="J674" s="436">
        <f t="shared" si="539"/>
        <v>1.3794631879741101E-2</v>
      </c>
      <c r="K674" s="16"/>
      <c r="L674" s="16"/>
      <c r="M674" s="16"/>
      <c r="N674" s="16">
        <f t="shared" si="540"/>
        <v>4913649</v>
      </c>
      <c r="O674" s="16">
        <f t="shared" si="541"/>
        <v>89128.957894736843</v>
      </c>
      <c r="P674" s="41"/>
      <c r="Q674" s="17">
        <f t="shared" si="542"/>
        <v>4913649</v>
      </c>
      <c r="R674" s="16"/>
      <c r="S674" s="60">
        <f t="shared" si="543"/>
        <v>0.4635149504233893</v>
      </c>
      <c r="T674" s="16"/>
      <c r="U674" s="41"/>
      <c r="V674" s="10">
        <f t="shared" si="558"/>
        <v>566</v>
      </c>
      <c r="W674" s="34">
        <v>1969</v>
      </c>
      <c r="X674" s="33">
        <v>4256</v>
      </c>
      <c r="Y674" s="33"/>
      <c r="Z674" s="33">
        <f t="shared" si="544"/>
        <v>8792</v>
      </c>
      <c r="AA674" s="33">
        <f t="shared" si="545"/>
        <v>785446</v>
      </c>
      <c r="AB674" s="33"/>
      <c r="AC674" s="46">
        <f t="shared" si="546"/>
        <v>1.3251830071952683E-2</v>
      </c>
      <c r="AD674" s="33"/>
      <c r="AE674" s="33">
        <f t="shared" si="547"/>
        <v>1181.1218045112782</v>
      </c>
      <c r="AF674" s="50"/>
      <c r="AG674" s="33"/>
      <c r="AH674" s="33"/>
      <c r="AI674" s="213"/>
      <c r="AJ674" s="50"/>
      <c r="AL674" s="23">
        <f t="shared" si="548"/>
        <v>106400</v>
      </c>
      <c r="AM674" s="24"/>
      <c r="AN674" s="24"/>
      <c r="AO674" s="24">
        <v>178263</v>
      </c>
      <c r="AP674" s="24">
        <v>42911490</v>
      </c>
      <c r="AQ674" s="24">
        <v>20336656</v>
      </c>
      <c r="AR674" s="461">
        <f t="shared" si="549"/>
        <v>2.4856856976588531E-3</v>
      </c>
      <c r="AS674" s="25"/>
      <c r="AT674" s="25"/>
      <c r="AU674" s="24"/>
      <c r="AV674" s="298">
        <f t="shared" si="550"/>
        <v>0.7239909218638797</v>
      </c>
      <c r="AW674" s="298"/>
      <c r="AX674" s="24">
        <f t="shared" si="551"/>
        <v>64528.556390977443</v>
      </c>
      <c r="AY674" s="308"/>
      <c r="BA674" s="65">
        <f t="shared" si="552"/>
        <v>3807857</v>
      </c>
      <c r="BB674" s="66"/>
      <c r="BC674" s="66">
        <v>852902599</v>
      </c>
      <c r="BD674" s="66"/>
      <c r="BE674" s="66">
        <f t="shared" si="553"/>
        <v>806493</v>
      </c>
      <c r="BF674" s="66"/>
      <c r="BG674" s="144">
        <f t="shared" si="554"/>
        <v>0.21179708166561928</v>
      </c>
      <c r="BH674" s="66"/>
      <c r="BI674" s="170"/>
      <c r="BJ674" s="66"/>
      <c r="BK674" s="66"/>
      <c r="BL674" s="66"/>
      <c r="BM674" s="144"/>
      <c r="BN674" s="65">
        <f t="shared" si="555"/>
        <v>1282560.2992481203</v>
      </c>
      <c r="BO674" s="66"/>
      <c r="BP674" s="66">
        <f t="shared" si="556"/>
        <v>58363779</v>
      </c>
      <c r="BQ674" s="66"/>
      <c r="BR674" s="435">
        <f t="shared" si="557"/>
        <v>6.8429594502853658E-2</v>
      </c>
      <c r="BS674" s="66"/>
      <c r="BT674" s="75"/>
      <c r="BU674" s="170"/>
      <c r="BV674" s="1"/>
      <c r="BW674" s="61">
        <f t="shared" si="399"/>
        <v>665</v>
      </c>
      <c r="CA674" s="56">
        <f t="shared" si="559"/>
        <v>3807857</v>
      </c>
      <c r="CC674" s="56">
        <f t="shared" si="560"/>
        <v>806493</v>
      </c>
      <c r="CG674" s="59">
        <f t="shared" si="561"/>
        <v>0.21179708166561928</v>
      </c>
    </row>
    <row r="675" spans="2:85" x14ac:dyDescent="0.3">
      <c r="B675" s="158">
        <f t="shared" si="537"/>
        <v>44575</v>
      </c>
      <c r="C675" s="61"/>
      <c r="D675" s="17">
        <v>827132</v>
      </c>
      <c r="E675" s="16"/>
      <c r="F675" s="16"/>
      <c r="G675" s="16"/>
      <c r="H675" s="16">
        <f t="shared" si="538"/>
        <v>60097889</v>
      </c>
      <c r="I675" s="16"/>
      <c r="J675" s="436">
        <f t="shared" si="539"/>
        <v>1.3955144861740166E-2</v>
      </c>
      <c r="K675" s="16"/>
      <c r="L675" s="16"/>
      <c r="M675" s="16"/>
      <c r="N675" s="16">
        <f t="shared" si="540"/>
        <v>4891600</v>
      </c>
      <c r="O675" s="16">
        <f t="shared" si="541"/>
        <v>90237.070570570577</v>
      </c>
      <c r="P675" s="41"/>
      <c r="Q675" s="17">
        <f t="shared" si="542"/>
        <v>4891600</v>
      </c>
      <c r="R675" s="16"/>
      <c r="S675" s="60">
        <f t="shared" si="543"/>
        <v>0.29994307633352058</v>
      </c>
      <c r="T675" s="16"/>
      <c r="U675" s="41"/>
      <c r="V675" s="10">
        <f t="shared" si="558"/>
        <v>567</v>
      </c>
      <c r="W675" s="34">
        <v>2303</v>
      </c>
      <c r="X675" s="33">
        <v>4256</v>
      </c>
      <c r="Y675" s="33"/>
      <c r="Z675" s="33">
        <f t="shared" si="544"/>
        <v>10426</v>
      </c>
      <c r="AA675" s="33">
        <f t="shared" si="545"/>
        <v>787749</v>
      </c>
      <c r="AB675" s="33"/>
      <c r="AC675" s="46">
        <f t="shared" si="546"/>
        <v>1.3107764900028351E-2</v>
      </c>
      <c r="AD675" s="33"/>
      <c r="AE675" s="33">
        <f t="shared" si="547"/>
        <v>1182.8063063063064</v>
      </c>
      <c r="AF675" s="50"/>
      <c r="AG675" s="33"/>
      <c r="AH675" s="33"/>
      <c r="AI675" s="213"/>
      <c r="AJ675" s="50"/>
      <c r="AL675" s="23">
        <f t="shared" si="548"/>
        <v>108434</v>
      </c>
      <c r="AM675" s="24"/>
      <c r="AN675" s="24"/>
      <c r="AO675" s="24">
        <v>178263</v>
      </c>
      <c r="AP675" s="24">
        <v>43019924</v>
      </c>
      <c r="AQ675" s="24">
        <v>20336656</v>
      </c>
      <c r="AR675" s="461">
        <f t="shared" si="549"/>
        <v>2.5269222765278015E-3</v>
      </c>
      <c r="AS675" s="25"/>
      <c r="AT675" s="25"/>
      <c r="AU675" s="24"/>
      <c r="AV675" s="298">
        <f t="shared" si="550"/>
        <v>0.71583086720400446</v>
      </c>
      <c r="AW675" s="298"/>
      <c r="AX675" s="24">
        <f t="shared" si="551"/>
        <v>64594.480480480481</v>
      </c>
      <c r="AY675" s="308"/>
      <c r="BA675" s="65">
        <f t="shared" si="552"/>
        <v>3520847</v>
      </c>
      <c r="BB675" s="66"/>
      <c r="BC675" s="66">
        <v>856423446</v>
      </c>
      <c r="BD675" s="66"/>
      <c r="BE675" s="66">
        <f t="shared" si="553"/>
        <v>827132</v>
      </c>
      <c r="BF675" s="66"/>
      <c r="BG675" s="144">
        <f t="shared" si="554"/>
        <v>0.23492415319381957</v>
      </c>
      <c r="BH675" s="66"/>
      <c r="BI675" s="170"/>
      <c r="BJ675" s="66"/>
      <c r="BK675" s="66"/>
      <c r="BL675" s="66"/>
      <c r="BM675" s="144"/>
      <c r="BN675" s="65">
        <f t="shared" si="555"/>
        <v>1285921.0900900902</v>
      </c>
      <c r="BO675" s="66"/>
      <c r="BP675" s="66">
        <f t="shared" si="556"/>
        <v>59190911</v>
      </c>
      <c r="BQ675" s="66"/>
      <c r="BR675" s="435">
        <f t="shared" si="557"/>
        <v>6.911407117175071E-2</v>
      </c>
      <c r="BS675" s="66"/>
      <c r="BT675" s="75"/>
      <c r="BU675" s="170"/>
      <c r="BV675" s="1"/>
      <c r="BW675" s="61">
        <f t="shared" si="399"/>
        <v>666</v>
      </c>
      <c r="CA675" s="56">
        <f t="shared" si="559"/>
        <v>3520847</v>
      </c>
      <c r="CC675" s="56">
        <f t="shared" si="560"/>
        <v>827132</v>
      </c>
      <c r="CG675" s="59">
        <f t="shared" si="561"/>
        <v>0.23492415319381957</v>
      </c>
    </row>
    <row r="676" spans="2:85" x14ac:dyDescent="0.3">
      <c r="B676" s="158">
        <f t="shared" si="537"/>
        <v>44576</v>
      </c>
      <c r="C676" s="61"/>
      <c r="D676" s="17">
        <v>404141</v>
      </c>
      <c r="E676" s="16"/>
      <c r="F676" s="16"/>
      <c r="G676" s="16"/>
      <c r="H676" s="16">
        <f t="shared" si="538"/>
        <v>60502030</v>
      </c>
      <c r="I676" s="16"/>
      <c r="J676" s="436">
        <f t="shared" si="539"/>
        <v>6.7247120776571705E-3</v>
      </c>
      <c r="K676" s="16"/>
      <c r="L676" s="16"/>
      <c r="M676" s="16"/>
      <c r="N676" s="16">
        <f t="shared" si="540"/>
        <v>4827660</v>
      </c>
      <c r="O676" s="16">
        <f t="shared" si="541"/>
        <v>90707.691154422791</v>
      </c>
      <c r="P676" s="41"/>
      <c r="Q676" s="17">
        <f t="shared" si="542"/>
        <v>4827660</v>
      </c>
      <c r="R676" s="16"/>
      <c r="S676" s="60">
        <f t="shared" si="543"/>
        <v>0.18626887984790708</v>
      </c>
      <c r="T676" s="16"/>
      <c r="U676" s="41"/>
      <c r="V676" s="10">
        <f t="shared" si="558"/>
        <v>568</v>
      </c>
      <c r="W676" s="34">
        <v>886</v>
      </c>
      <c r="X676" s="33">
        <v>4256</v>
      </c>
      <c r="Y676" s="33"/>
      <c r="Z676" s="33">
        <f t="shared" si="544"/>
        <v>10848</v>
      </c>
      <c r="AA676" s="33">
        <f t="shared" si="545"/>
        <v>788635</v>
      </c>
      <c r="AB676" s="33"/>
      <c r="AC676" s="46">
        <f t="shared" si="546"/>
        <v>1.3034851888440767E-2</v>
      </c>
      <c r="AD676" s="33"/>
      <c r="AE676" s="33">
        <f t="shared" si="547"/>
        <v>1182.3613193403298</v>
      </c>
      <c r="AF676" s="50"/>
      <c r="AG676" s="33"/>
      <c r="AH676" s="33"/>
      <c r="AI676" s="213"/>
      <c r="AJ676" s="50"/>
      <c r="AL676" s="23">
        <f t="shared" si="548"/>
        <v>39165</v>
      </c>
      <c r="AM676" s="24"/>
      <c r="AN676" s="24"/>
      <c r="AO676" s="24">
        <v>178263</v>
      </c>
      <c r="AP676" s="24">
        <v>43059089</v>
      </c>
      <c r="AQ676" s="24">
        <v>20336656</v>
      </c>
      <c r="AR676" s="461">
        <f t="shared" si="549"/>
        <v>9.1039212435614712E-4</v>
      </c>
      <c r="AS676" s="25"/>
      <c r="AT676" s="25"/>
      <c r="AU676" s="24"/>
      <c r="AV676" s="298">
        <f t="shared" si="550"/>
        <v>0.71169659927113194</v>
      </c>
      <c r="AW676" s="298"/>
      <c r="AX676" s="24">
        <f t="shared" si="551"/>
        <v>64556.35532233883</v>
      </c>
      <c r="AY676" s="308"/>
      <c r="BA676" s="65">
        <f t="shared" si="552"/>
        <v>1302722</v>
      </c>
      <c r="BB676" s="66"/>
      <c r="BC676" s="66">
        <v>857726168</v>
      </c>
      <c r="BD676" s="66"/>
      <c r="BE676" s="66">
        <f t="shared" si="553"/>
        <v>404141</v>
      </c>
      <c r="BF676" s="66"/>
      <c r="BG676" s="144">
        <f t="shared" si="554"/>
        <v>0.31022812234690134</v>
      </c>
      <c r="BH676" s="66"/>
      <c r="BI676" s="170"/>
      <c r="BJ676" s="66"/>
      <c r="BK676" s="66"/>
      <c r="BL676" s="66"/>
      <c r="BM676" s="144"/>
      <c r="BN676" s="65">
        <f t="shared" si="555"/>
        <v>1285946.2788605697</v>
      </c>
      <c r="BO676" s="66"/>
      <c r="BP676" s="66">
        <f t="shared" si="556"/>
        <v>59595052</v>
      </c>
      <c r="BQ676" s="66"/>
      <c r="BR676" s="435">
        <f t="shared" si="557"/>
        <v>6.9480277299875964E-2</v>
      </c>
      <c r="BS676" s="66"/>
      <c r="BT676" s="75"/>
      <c r="BU676" s="170"/>
      <c r="BV676" s="1"/>
      <c r="BW676" s="61">
        <f t="shared" si="399"/>
        <v>667</v>
      </c>
      <c r="CA676" s="56">
        <f t="shared" si="559"/>
        <v>1302722</v>
      </c>
      <c r="CC676" s="56">
        <f t="shared" si="560"/>
        <v>404141</v>
      </c>
      <c r="CG676" s="59">
        <f t="shared" si="561"/>
        <v>0.31022812234690134</v>
      </c>
    </row>
    <row r="677" spans="2:85" x14ac:dyDescent="0.3">
      <c r="B677" s="347">
        <f t="shared" si="537"/>
        <v>44577</v>
      </c>
      <c r="C677" s="61"/>
      <c r="D677" s="17">
        <v>287973</v>
      </c>
      <c r="E677" s="16"/>
      <c r="F677" s="16"/>
      <c r="G677" s="16"/>
      <c r="H677" s="16">
        <f t="shared" si="538"/>
        <v>60790003</v>
      </c>
      <c r="I677" s="16"/>
      <c r="J677" s="436">
        <f t="shared" si="539"/>
        <v>4.7597245910591763E-3</v>
      </c>
      <c r="K677" s="16"/>
      <c r="L677" s="16"/>
      <c r="M677" s="16"/>
      <c r="N677" s="16">
        <f t="shared" si="540"/>
        <v>4563086</v>
      </c>
      <c r="O677" s="16">
        <f t="shared" si="541"/>
        <v>91002.998502994014</v>
      </c>
      <c r="P677" s="41"/>
      <c r="Q677" s="17">
        <f t="shared" si="542"/>
        <v>4563086</v>
      </c>
      <c r="R677" s="16"/>
      <c r="S677" s="60">
        <f t="shared" si="543"/>
        <v>2.8407213634669224E-2</v>
      </c>
      <c r="T677" s="16"/>
      <c r="U677" s="41"/>
      <c r="V677" s="10">
        <f t="shared" si="558"/>
        <v>569</v>
      </c>
      <c r="W677" s="34">
        <v>346</v>
      </c>
      <c r="X677" s="33">
        <v>4256</v>
      </c>
      <c r="Y677" s="33"/>
      <c r="Z677" s="33">
        <f t="shared" si="544"/>
        <v>10049</v>
      </c>
      <c r="AA677" s="33">
        <f t="shared" si="545"/>
        <v>788981</v>
      </c>
      <c r="AB677" s="33"/>
      <c r="AC677" s="46">
        <f t="shared" si="546"/>
        <v>1.2978795214074919E-2</v>
      </c>
      <c r="AD677" s="33"/>
      <c r="AE677" s="33">
        <f t="shared" si="547"/>
        <v>1181.1092814371257</v>
      </c>
      <c r="AF677" s="50"/>
      <c r="AG677" s="33"/>
      <c r="AH677" s="33"/>
      <c r="AI677" s="213"/>
      <c r="AJ677" s="50"/>
      <c r="AL677" s="23">
        <f t="shared" si="548"/>
        <v>31555</v>
      </c>
      <c r="AM677" s="24"/>
      <c r="AN677" s="24"/>
      <c r="AO677" s="24">
        <v>178263</v>
      </c>
      <c r="AP677" s="24">
        <v>43090644</v>
      </c>
      <c r="AQ677" s="24">
        <v>20336656</v>
      </c>
      <c r="AR677" s="461">
        <f t="shared" si="549"/>
        <v>7.3283018133523444E-4</v>
      </c>
      <c r="AS677" s="25"/>
      <c r="AT677" s="25"/>
      <c r="AU677" s="24"/>
      <c r="AV677" s="298">
        <f t="shared" si="550"/>
        <v>0.70884424861765516</v>
      </c>
      <c r="AW677" s="298"/>
      <c r="AX677" s="24">
        <f t="shared" si="551"/>
        <v>64506.952095808381</v>
      </c>
      <c r="AY677" s="308"/>
      <c r="BA677" s="65">
        <f t="shared" si="552"/>
        <v>980751</v>
      </c>
      <c r="BB677" s="66"/>
      <c r="BC677" s="66">
        <v>858706919</v>
      </c>
      <c r="BD677" s="66"/>
      <c r="BE677" s="66">
        <f t="shared" si="553"/>
        <v>287973</v>
      </c>
      <c r="BF677" s="66"/>
      <c r="BG677" s="144">
        <f t="shared" si="554"/>
        <v>0.2936249873821184</v>
      </c>
      <c r="BH677" s="66"/>
      <c r="BI677" s="170"/>
      <c r="BJ677" s="66"/>
      <c r="BK677" s="66"/>
      <c r="BL677" s="66"/>
      <c r="BM677" s="144"/>
      <c r="BN677" s="65">
        <f t="shared" si="555"/>
        <v>1285489.3997005988</v>
      </c>
      <c r="BO677" s="66"/>
      <c r="BP677" s="66">
        <f t="shared" si="556"/>
        <v>59883025</v>
      </c>
      <c r="BQ677" s="66"/>
      <c r="BR677" s="435">
        <f t="shared" si="557"/>
        <v>6.973627867088375E-2</v>
      </c>
      <c r="BS677" s="66"/>
      <c r="BT677" s="75"/>
      <c r="BU677" s="170"/>
      <c r="BV677" s="1"/>
      <c r="BW677" s="61">
        <f t="shared" si="399"/>
        <v>668</v>
      </c>
      <c r="CA677" s="56">
        <f t="shared" si="559"/>
        <v>980751</v>
      </c>
      <c r="CC677" s="56">
        <f t="shared" si="560"/>
        <v>287973</v>
      </c>
      <c r="CG677" s="59">
        <f t="shared" si="561"/>
        <v>0.2936249873821184</v>
      </c>
    </row>
    <row r="678" spans="2:85" x14ac:dyDescent="0.3">
      <c r="B678" s="158">
        <f t="shared" si="537"/>
        <v>44578</v>
      </c>
      <c r="C678" s="61"/>
      <c r="D678" s="17">
        <v>573918</v>
      </c>
      <c r="E678" s="16"/>
      <c r="F678" s="16"/>
      <c r="G678" s="16"/>
      <c r="H678" s="16">
        <f t="shared" ref="H678" si="562">+H677+D678</f>
        <v>61363921</v>
      </c>
      <c r="I678" s="16"/>
      <c r="J678" s="436">
        <f t="shared" ref="J678" si="563">+D678/H677</f>
        <v>9.4409931185560226E-3</v>
      </c>
      <c r="K678" s="16"/>
      <c r="L678" s="16"/>
      <c r="M678" s="16"/>
      <c r="N678" s="16">
        <f t="shared" ref="N678" si="564">SUM(D672:D678)</f>
        <v>4445004</v>
      </c>
      <c r="O678" s="16">
        <f t="shared" ref="O678" si="565">+H678/BW678</f>
        <v>91724.844544095671</v>
      </c>
      <c r="P678" s="41"/>
      <c r="Q678" s="17">
        <f t="shared" ref="Q678" si="566">SUM(D672:D678)</f>
        <v>4445004</v>
      </c>
      <c r="R678" s="16"/>
      <c r="S678" s="60">
        <f t="shared" ref="S678" si="567">+(Q678-Q671)/Q671</f>
        <v>-3.6583357030399291E-2</v>
      </c>
      <c r="T678" s="16"/>
      <c r="U678" s="41"/>
      <c r="V678" s="10">
        <f t="shared" si="558"/>
        <v>570</v>
      </c>
      <c r="W678" s="34">
        <v>730</v>
      </c>
      <c r="X678" s="33">
        <v>4256</v>
      </c>
      <c r="Y678" s="33"/>
      <c r="Z678" s="33">
        <f t="shared" ref="Z678" si="568">SUM(W673:W678)</f>
        <v>8606</v>
      </c>
      <c r="AA678" s="33">
        <f t="shared" ref="AA678" si="569">+AA677+W678</f>
        <v>789711</v>
      </c>
      <c r="AB678" s="33"/>
      <c r="AC678" s="46">
        <f t="shared" ref="AC678" si="570">+AA678/H678</f>
        <v>1.2869304749936042E-2</v>
      </c>
      <c r="AD678" s="33"/>
      <c r="AE678" s="33">
        <f t="shared" ref="AE678" si="571">+AA678/BW678</f>
        <v>1180.4349775784754</v>
      </c>
      <c r="AF678" s="50"/>
      <c r="AG678" s="33"/>
      <c r="AH678" s="33"/>
      <c r="AI678" s="213"/>
      <c r="AJ678" s="50"/>
      <c r="AL678" s="23">
        <f t="shared" ref="AL678" si="572">+AP678-AP677</f>
        <v>138971</v>
      </c>
      <c r="AM678" s="24"/>
      <c r="AN678" s="24"/>
      <c r="AO678" s="24">
        <v>178263</v>
      </c>
      <c r="AP678" s="24">
        <v>43229615</v>
      </c>
      <c r="AQ678" s="24">
        <v>20336656</v>
      </c>
      <c r="AR678" s="461">
        <f t="shared" ref="AR678" si="573">+AL678/AP677</f>
        <v>3.225085241241695E-3</v>
      </c>
      <c r="AS678" s="25"/>
      <c r="AT678" s="25"/>
      <c r="AU678" s="24"/>
      <c r="AV678" s="298">
        <f t="shared" ref="AV678" si="574">+AP678/H678</f>
        <v>0.70447934707431747</v>
      </c>
      <c r="AW678" s="298"/>
      <c r="AX678" s="24">
        <f t="shared" ref="AX678" si="575">+AP678/BW678</f>
        <v>64618.258594917788</v>
      </c>
      <c r="AY678" s="308"/>
      <c r="BA678" s="65">
        <f t="shared" ref="BA678" si="576">+BC678-BC677</f>
        <v>4780319</v>
      </c>
      <c r="BB678" s="66"/>
      <c r="BC678" s="66">
        <v>863487238</v>
      </c>
      <c r="BD678" s="66"/>
      <c r="BE678" s="66">
        <f t="shared" ref="BE678" si="577">+D678</f>
        <v>573918</v>
      </c>
      <c r="BF678" s="66"/>
      <c r="BG678" s="144">
        <f t="shared" ref="BG678" si="578">+BE678/BA678</f>
        <v>0.12005851492337645</v>
      </c>
      <c r="BH678" s="66"/>
      <c r="BI678" s="170"/>
      <c r="BJ678" s="66"/>
      <c r="BK678" s="66"/>
      <c r="BL678" s="66"/>
      <c r="BM678" s="144"/>
      <c r="BN678" s="65">
        <f t="shared" ref="BN678" si="579">+BC678/BW678</f>
        <v>1290713.360239163</v>
      </c>
      <c r="BO678" s="66"/>
      <c r="BP678" s="66">
        <f t="shared" ref="BP678" si="580">+BP677+BE678</f>
        <v>60456943</v>
      </c>
      <c r="BQ678" s="66"/>
      <c r="BR678" s="435">
        <f t="shared" ref="BR678" si="581">+BP678/BC678</f>
        <v>7.0014865697412887E-2</v>
      </c>
      <c r="BS678" s="66"/>
      <c r="BT678" s="75"/>
      <c r="BU678" s="170"/>
      <c r="BV678" s="1"/>
      <c r="BW678" s="61">
        <f t="shared" si="399"/>
        <v>669</v>
      </c>
      <c r="CA678" s="56">
        <f t="shared" si="559"/>
        <v>4780319</v>
      </c>
      <c r="CC678" s="56">
        <f t="shared" si="560"/>
        <v>573918</v>
      </c>
      <c r="CG678" s="59">
        <f t="shared" si="561"/>
        <v>0.12005851492337645</v>
      </c>
    </row>
    <row r="679" spans="2:85" x14ac:dyDescent="0.3">
      <c r="B679" s="158">
        <f t="shared" si="537"/>
        <v>44579</v>
      </c>
      <c r="C679" s="61"/>
      <c r="D679" s="17">
        <v>546904</v>
      </c>
      <c r="E679" s="16"/>
      <c r="F679" s="16"/>
      <c r="G679" s="16"/>
      <c r="H679" s="16">
        <f t="shared" ref="H679" si="582">+H678+D679</f>
        <v>61910825</v>
      </c>
      <c r="I679" s="16"/>
      <c r="J679" s="436">
        <f t="shared" ref="J679" si="583">+D679/H678</f>
        <v>8.9124682889804262E-3</v>
      </c>
      <c r="K679" s="16"/>
      <c r="L679" s="16"/>
      <c r="M679" s="16"/>
      <c r="N679" s="16">
        <f t="shared" ref="N679" si="584">SUM(D673:D679)</f>
        <v>4319036</v>
      </c>
      <c r="O679" s="16">
        <f t="shared" ref="O679" si="585">+H679/BW679</f>
        <v>92404.216417910444</v>
      </c>
      <c r="P679" s="41"/>
      <c r="Q679" s="17">
        <f t="shared" ref="Q679" si="586">SUM(D673:D679)</f>
        <v>4319036</v>
      </c>
      <c r="R679" s="16"/>
      <c r="S679" s="60">
        <f t="shared" ref="S679" si="587">+(Q679-Q672)/Q672</f>
        <v>-7.9264458028324908E-2</v>
      </c>
      <c r="T679" s="16"/>
      <c r="U679" s="41"/>
      <c r="V679" s="10">
        <f t="shared" si="558"/>
        <v>571</v>
      </c>
      <c r="W679" s="34">
        <v>1720</v>
      </c>
      <c r="X679" s="33">
        <v>4256</v>
      </c>
      <c r="Y679" s="33"/>
      <c r="Z679" s="33">
        <f t="shared" ref="Z679" si="588">SUM(W674:W679)</f>
        <v>7954</v>
      </c>
      <c r="AA679" s="33">
        <f t="shared" ref="AA679" si="589">+AA678+W679</f>
        <v>791431</v>
      </c>
      <c r="AB679" s="33"/>
      <c r="AC679" s="46">
        <f t="shared" ref="AC679" si="590">+AA679/H679</f>
        <v>1.2783402579435825E-2</v>
      </c>
      <c r="AD679" s="33"/>
      <c r="AE679" s="33">
        <f t="shared" ref="AE679" si="591">+AA679/BW679</f>
        <v>1181.2402985074627</v>
      </c>
      <c r="AF679" s="50"/>
      <c r="AG679" s="33"/>
      <c r="AH679" s="33"/>
      <c r="AI679" s="213"/>
      <c r="AJ679" s="50"/>
      <c r="AL679" s="23">
        <f t="shared" ref="AL679" si="592">+AP679-AP678</f>
        <v>298495</v>
      </c>
      <c r="AM679" s="24"/>
      <c r="AN679" s="24"/>
      <c r="AO679" s="24">
        <v>178263</v>
      </c>
      <c r="AP679" s="24">
        <v>43528110</v>
      </c>
      <c r="AQ679" s="24">
        <v>20336656</v>
      </c>
      <c r="AR679" s="461">
        <f t="shared" ref="AR679" si="593">+AL679/AP678</f>
        <v>6.9048729672933707E-3</v>
      </c>
      <c r="AS679" s="25"/>
      <c r="AT679" s="25"/>
      <c r="AU679" s="24"/>
      <c r="AV679" s="298">
        <f t="shared" ref="AV679" si="594">+AP679/H679</f>
        <v>0.70307753127179295</v>
      </c>
      <c r="AW679" s="298"/>
      <c r="AX679" s="24">
        <f t="shared" ref="AX679" si="595">+AP679/BW679</f>
        <v>64967.328358208957</v>
      </c>
      <c r="AY679" s="308"/>
      <c r="BA679" s="65">
        <f t="shared" ref="BA679" si="596">+BC679-BC678</f>
        <v>4370237</v>
      </c>
      <c r="BB679" s="66"/>
      <c r="BC679" s="66">
        <v>867857475</v>
      </c>
      <c r="BD679" s="66"/>
      <c r="BE679" s="66">
        <f t="shared" ref="BE679" si="597">+D679</f>
        <v>546904</v>
      </c>
      <c r="BF679" s="66"/>
      <c r="BG679" s="144">
        <f t="shared" ref="BG679" si="598">+BE679/BA679</f>
        <v>0.12514286982605291</v>
      </c>
      <c r="BH679" s="66"/>
      <c r="BI679" s="170"/>
      <c r="BJ679" s="66"/>
      <c r="BK679" s="66"/>
      <c r="BL679" s="66"/>
      <c r="BM679" s="144"/>
      <c r="BN679" s="65">
        <f t="shared" ref="BN679" si="599">+BC679/BW679</f>
        <v>1295309.6641791044</v>
      </c>
      <c r="BO679" s="66"/>
      <c r="BP679" s="66">
        <f t="shared" ref="BP679" si="600">+BP678+BE679</f>
        <v>61003847</v>
      </c>
      <c r="BQ679" s="66"/>
      <c r="BR679" s="435">
        <f t="shared" ref="BR679" si="601">+BP679/BC679</f>
        <v>7.0292471698765971E-2</v>
      </c>
      <c r="BS679" s="66"/>
      <c r="BT679" s="75"/>
      <c r="BU679" s="170"/>
      <c r="BV679" s="1"/>
      <c r="BW679" s="61">
        <f t="shared" si="399"/>
        <v>670</v>
      </c>
      <c r="CA679" s="56">
        <f t="shared" si="559"/>
        <v>4370237</v>
      </c>
      <c r="CC679" s="56">
        <f t="shared" si="560"/>
        <v>546904</v>
      </c>
      <c r="CG679" s="59">
        <f t="shared" si="561"/>
        <v>0.12514286982605291</v>
      </c>
    </row>
    <row r="680" spans="2:85" x14ac:dyDescent="0.3">
      <c r="B680" s="158">
        <f t="shared" si="537"/>
        <v>44580</v>
      </c>
      <c r="C680" s="61"/>
      <c r="D680" s="17">
        <v>710928</v>
      </c>
      <c r="E680" s="16"/>
      <c r="F680" s="16"/>
      <c r="G680" s="16"/>
      <c r="H680" s="16">
        <f t="shared" ref="H680" si="602">+H679+D680</f>
        <v>62621753</v>
      </c>
      <c r="I680" s="16"/>
      <c r="J680" s="436">
        <f t="shared" ref="J680" si="603">+D680/H679</f>
        <v>1.1483096857455865E-2</v>
      </c>
      <c r="K680" s="16"/>
      <c r="L680" s="16"/>
      <c r="M680" s="16"/>
      <c r="N680" s="16">
        <f t="shared" ref="N680" si="604">SUM(D674:D680)</f>
        <v>4157489</v>
      </c>
      <c r="O680" s="16">
        <f t="shared" ref="O680" si="605">+H680/BW680</f>
        <v>93326.010432190757</v>
      </c>
      <c r="P680" s="41"/>
      <c r="Q680" s="17">
        <f t="shared" ref="Q680" si="606">SUM(D674:D680)</f>
        <v>4157489</v>
      </c>
      <c r="R680" s="16"/>
      <c r="S680" s="60">
        <f t="shared" ref="S680" si="607">+(Q680-Q673)/Q673</f>
        <v>-0.14431506742177075</v>
      </c>
      <c r="T680" s="16"/>
      <c r="U680" s="41"/>
      <c r="V680" s="10">
        <f t="shared" si="558"/>
        <v>572</v>
      </c>
      <c r="W680" s="34">
        <v>2374</v>
      </c>
      <c r="X680" s="33">
        <v>4256</v>
      </c>
      <c r="Y680" s="33"/>
      <c r="Z680" s="33">
        <f t="shared" ref="Z680" si="608">SUM(W675:W680)</f>
        <v>8359</v>
      </c>
      <c r="AA680" s="33">
        <f t="shared" ref="AA680" si="609">+AA679+W680</f>
        <v>793805</v>
      </c>
      <c r="AB680" s="33"/>
      <c r="AC680" s="46">
        <f t="shared" ref="AC680" si="610">+AA680/H680</f>
        <v>1.2676186180862742E-2</v>
      </c>
      <c r="AD680" s="33"/>
      <c r="AE680" s="33">
        <f t="shared" ref="AE680" si="611">+AA680/BW680</f>
        <v>1183.0178837555886</v>
      </c>
      <c r="AF680" s="50"/>
      <c r="AG680" s="33"/>
      <c r="AH680" s="33"/>
      <c r="AI680" s="213"/>
      <c r="AJ680" s="50"/>
      <c r="AL680" s="23">
        <f t="shared" ref="AL680" si="612">+AP680-AP679</f>
        <v>364167</v>
      </c>
      <c r="AM680" s="24"/>
      <c r="AN680" s="24"/>
      <c r="AO680" s="24">
        <v>178263</v>
      </c>
      <c r="AP680" s="24">
        <v>43892277</v>
      </c>
      <c r="AQ680" s="24">
        <v>20336656</v>
      </c>
      <c r="AR680" s="461">
        <f t="shared" ref="AR680" si="613">+AL680/AP679</f>
        <v>8.3662488447120726E-3</v>
      </c>
      <c r="AS680" s="25"/>
      <c r="AT680" s="25"/>
      <c r="AU680" s="24"/>
      <c r="AV680" s="298">
        <f t="shared" ref="AV680" si="614">+AP680/H680</f>
        <v>0.70091102368213809</v>
      </c>
      <c r="AW680" s="298"/>
      <c r="AX680" s="24">
        <f t="shared" ref="AX680" si="615">+AP680/BW680</f>
        <v>65413.229508196724</v>
      </c>
      <c r="AY680" s="308"/>
      <c r="BA680" s="65">
        <f t="shared" ref="BA680" si="616">+BC680-BC679</f>
        <v>3795478</v>
      </c>
      <c r="BB680" s="66"/>
      <c r="BC680" s="66">
        <v>871652953</v>
      </c>
      <c r="BD680" s="66"/>
      <c r="BE680" s="66">
        <f t="shared" ref="BE680" si="617">+D680</f>
        <v>710928</v>
      </c>
      <c r="BF680" s="66"/>
      <c r="BG680" s="144">
        <f t="shared" ref="BG680" si="618">+BE680/BA680</f>
        <v>0.18730921375384074</v>
      </c>
      <c r="BH680" s="66"/>
      <c r="BI680" s="170"/>
      <c r="BJ680" s="66"/>
      <c r="BK680" s="66"/>
      <c r="BL680" s="66"/>
      <c r="BM680" s="144"/>
      <c r="BN680" s="65">
        <f t="shared" ref="BN680" si="619">+BC680/BW680</f>
        <v>1299035.697466468</v>
      </c>
      <c r="BO680" s="66"/>
      <c r="BP680" s="66">
        <f t="shared" ref="BP680" si="620">+BP679+BE680</f>
        <v>61714775</v>
      </c>
      <c r="BQ680" s="66"/>
      <c r="BR680" s="435">
        <f t="shared" ref="BR680" si="621">+BP680/BC680</f>
        <v>7.0802003007726863E-2</v>
      </c>
      <c r="BS680" s="66"/>
      <c r="BT680" s="75"/>
      <c r="BU680" s="170"/>
      <c r="BV680" s="1"/>
      <c r="BW680" s="61">
        <f t="shared" si="399"/>
        <v>671</v>
      </c>
      <c r="CA680" s="56">
        <f t="shared" si="559"/>
        <v>3795478</v>
      </c>
      <c r="CC680" s="56">
        <f t="shared" si="560"/>
        <v>710928</v>
      </c>
      <c r="CG680" s="59">
        <f t="shared" si="561"/>
        <v>0.18730921375384074</v>
      </c>
    </row>
    <row r="681" spans="2:85" x14ac:dyDescent="0.3">
      <c r="B681" s="158">
        <f t="shared" si="537"/>
        <v>44581</v>
      </c>
      <c r="C681" s="61"/>
      <c r="D681" s="17">
        <v>692320</v>
      </c>
      <c r="E681" s="16"/>
      <c r="F681" s="16"/>
      <c r="G681" s="16"/>
      <c r="H681" s="16">
        <f t="shared" ref="H681" si="622">+H680+D681</f>
        <v>63314073</v>
      </c>
      <c r="I681" s="16"/>
      <c r="J681" s="436">
        <f t="shared" ref="J681" si="623">+D681/H680</f>
        <v>1.1055583193271514E-2</v>
      </c>
      <c r="K681" s="16"/>
      <c r="L681" s="16"/>
      <c r="M681" s="16"/>
      <c r="N681" s="16">
        <f t="shared" ref="N681" si="624">SUM(D675:D681)</f>
        <v>4043316</v>
      </c>
      <c r="O681" s="16">
        <f t="shared" ref="O681" si="625">+H681/BW681</f>
        <v>94217.37053571429</v>
      </c>
      <c r="P681" s="41"/>
      <c r="Q681" s="17">
        <f t="shared" ref="Q681" si="626">SUM(D675:D681)</f>
        <v>4043316</v>
      </c>
      <c r="R681" s="16"/>
      <c r="S681" s="60">
        <f t="shared" ref="S681" si="627">+(Q681-Q674)/Q674</f>
        <v>-0.17712559444111697</v>
      </c>
      <c r="T681" s="16"/>
      <c r="U681" s="41"/>
      <c r="V681" s="10">
        <f t="shared" si="558"/>
        <v>573</v>
      </c>
      <c r="W681" s="34">
        <v>2700</v>
      </c>
      <c r="X681" s="33">
        <v>4256</v>
      </c>
      <c r="Y681" s="33"/>
      <c r="Z681" s="33">
        <f t="shared" ref="Z681" si="628">SUM(W676:W681)</f>
        <v>8756</v>
      </c>
      <c r="AA681" s="33">
        <f t="shared" ref="AA681" si="629">+AA680+W681</f>
        <v>796505</v>
      </c>
      <c r="AB681" s="33"/>
      <c r="AC681" s="46">
        <f t="shared" ref="AC681" si="630">+AA681/H681</f>
        <v>1.2580220514323885E-2</v>
      </c>
      <c r="AD681" s="33"/>
      <c r="AE681" s="33">
        <f t="shared" ref="AE681" si="631">+AA681/BW681</f>
        <v>1185.2752976190477</v>
      </c>
      <c r="AF681" s="50"/>
      <c r="AG681" s="33"/>
      <c r="AH681" s="33"/>
      <c r="AI681" s="213"/>
      <c r="AJ681" s="50"/>
      <c r="AL681" s="23">
        <f t="shared" ref="AL681" si="632">+AP681-AP680</f>
        <v>155522</v>
      </c>
      <c r="AM681" s="24"/>
      <c r="AN681" s="24"/>
      <c r="AO681" s="24">
        <v>178263</v>
      </c>
      <c r="AP681" s="24">
        <v>44047799</v>
      </c>
      <c r="AQ681" s="24">
        <v>20336656</v>
      </c>
      <c r="AR681" s="461">
        <f t="shared" ref="AR681" si="633">+AL681/AP680</f>
        <v>3.5432657093638592E-3</v>
      </c>
      <c r="AS681" s="25"/>
      <c r="AT681" s="25"/>
      <c r="AU681" s="24"/>
      <c r="AV681" s="298">
        <f t="shared" ref="AV681" si="634">+AP681/H681</f>
        <v>0.69570313380407545</v>
      </c>
      <c r="AW681" s="298"/>
      <c r="AX681" s="24">
        <f t="shared" ref="AX681" si="635">+AP681/BW681</f>
        <v>65547.319940476184</v>
      </c>
      <c r="AY681" s="308"/>
      <c r="BA681" s="65">
        <f t="shared" ref="BA681" si="636">+BC681-BC680</f>
        <v>3347047</v>
      </c>
      <c r="BB681" s="66"/>
      <c r="BC681" s="66">
        <v>875000000</v>
      </c>
      <c r="BD681" s="66"/>
      <c r="BE681" s="66">
        <f t="shared" ref="BE681" si="637">+D681</f>
        <v>692320</v>
      </c>
      <c r="BF681" s="66"/>
      <c r="BG681" s="144">
        <f t="shared" ref="BG681" si="638">+BE681/BA681</f>
        <v>0.20684501890771179</v>
      </c>
      <c r="BH681" s="66"/>
      <c r="BI681" s="170"/>
      <c r="BJ681" s="66"/>
      <c r="BK681" s="66"/>
      <c r="BL681" s="66"/>
      <c r="BM681" s="144"/>
      <c r="BN681" s="65">
        <f t="shared" ref="BN681" si="639">+BC681/BW681</f>
        <v>1302083.3333333333</v>
      </c>
      <c r="BO681" s="66"/>
      <c r="BP681" s="66">
        <f t="shared" ref="BP681" si="640">+BP680+BE681</f>
        <v>62407095</v>
      </c>
      <c r="BQ681" s="66"/>
      <c r="BR681" s="435">
        <f t="shared" ref="BR681" si="641">+BP681/BC681</f>
        <v>7.1322394285714283E-2</v>
      </c>
      <c r="BS681" s="66"/>
      <c r="BT681" s="75"/>
      <c r="BU681" s="170"/>
      <c r="BV681" s="1"/>
      <c r="BW681" s="61">
        <f t="shared" si="399"/>
        <v>672</v>
      </c>
      <c r="CA681" s="56">
        <f t="shared" si="559"/>
        <v>3347047</v>
      </c>
      <c r="CC681" s="56">
        <f t="shared" si="560"/>
        <v>692320</v>
      </c>
      <c r="CG681" s="59">
        <f t="shared" si="561"/>
        <v>0.20684501890771179</v>
      </c>
    </row>
    <row r="682" spans="2:85" x14ac:dyDescent="0.3">
      <c r="B682" s="158">
        <f t="shared" si="537"/>
        <v>44582</v>
      </c>
      <c r="C682" s="61"/>
      <c r="D682" s="17">
        <v>800700</v>
      </c>
      <c r="E682" s="16"/>
      <c r="F682" s="16"/>
      <c r="G682" s="16"/>
      <c r="H682" s="16">
        <f t="shared" ref="H682" si="642">+H681+D682</f>
        <v>64114773</v>
      </c>
      <c r="I682" s="16"/>
      <c r="J682" s="436">
        <f t="shared" ref="J682" si="643">+D682/H681</f>
        <v>1.2646477505877721E-2</v>
      </c>
      <c r="K682" s="16"/>
      <c r="L682" s="16"/>
      <c r="M682" s="16"/>
      <c r="N682" s="16">
        <f t="shared" ref="N682" si="644">SUM(D676:D682)</f>
        <v>4016884</v>
      </c>
      <c r="O682" s="16">
        <f t="shared" ref="O682" si="645">+H682/BW682</f>
        <v>95267.121842496286</v>
      </c>
      <c r="P682" s="41"/>
      <c r="Q682" s="17">
        <f t="shared" ref="Q682" si="646">SUM(D676:D682)</f>
        <v>4016884</v>
      </c>
      <c r="R682" s="16"/>
      <c r="S682" s="60">
        <f t="shared" ref="S682" si="647">+(Q682-Q675)/Q675</f>
        <v>-0.17882001799002373</v>
      </c>
      <c r="T682" s="16"/>
      <c r="U682" s="41"/>
      <c r="V682" s="10">
        <f t="shared" si="558"/>
        <v>574</v>
      </c>
      <c r="W682" s="34">
        <v>2917</v>
      </c>
      <c r="X682" s="33">
        <v>4256</v>
      </c>
      <c r="Y682" s="33"/>
      <c r="Z682" s="33">
        <f t="shared" ref="Z682" si="648">SUM(W677:W682)</f>
        <v>10787</v>
      </c>
      <c r="AA682" s="33">
        <f t="shared" ref="AA682" si="649">+AA681+W682</f>
        <v>799422</v>
      </c>
      <c r="AB682" s="33"/>
      <c r="AC682" s="46">
        <f t="shared" ref="AC682" si="650">+AA682/H682</f>
        <v>1.2468608443798124E-2</v>
      </c>
      <c r="AD682" s="33"/>
      <c r="AE682" s="33">
        <f t="shared" ref="AE682" si="651">+AA682/BW682</f>
        <v>1187.848439821694</v>
      </c>
      <c r="AF682" s="50"/>
      <c r="AG682" s="33"/>
      <c r="AH682" s="33"/>
      <c r="AI682" s="213"/>
      <c r="AJ682" s="50"/>
      <c r="AL682" s="23">
        <f t="shared" ref="AL682" si="652">+AP682-AP681</f>
        <v>174635</v>
      </c>
      <c r="AM682" s="24"/>
      <c r="AN682" s="24"/>
      <c r="AO682" s="24">
        <v>178263</v>
      </c>
      <c r="AP682" s="24">
        <v>44222434</v>
      </c>
      <c r="AQ682" s="24">
        <v>20336656</v>
      </c>
      <c r="AR682" s="461">
        <f t="shared" ref="AR682" si="653">+AL682/AP681</f>
        <v>3.9646702892010563E-3</v>
      </c>
      <c r="AS682" s="25"/>
      <c r="AT682" s="25"/>
      <c r="AU682" s="24"/>
      <c r="AV682" s="298">
        <f t="shared" ref="AV682" si="654">+AP682/H682</f>
        <v>0.68973860361324213</v>
      </c>
      <c r="AW682" s="298"/>
      <c r="AX682" s="24">
        <f t="shared" ref="AX682" si="655">+AP682/BW682</f>
        <v>65709.411589895986</v>
      </c>
      <c r="AY682" s="308"/>
      <c r="BA682" s="65">
        <f t="shared" ref="BA682" si="656">+BC682-BC681</f>
        <v>3582375</v>
      </c>
      <c r="BB682" s="66"/>
      <c r="BC682" s="66">
        <v>878582375</v>
      </c>
      <c r="BD682" s="66"/>
      <c r="BE682" s="66">
        <f t="shared" ref="BE682" si="657">+D682</f>
        <v>800700</v>
      </c>
      <c r="BF682" s="66"/>
      <c r="BG682" s="144">
        <f t="shared" ref="BG682" si="658">+BE682/BA682</f>
        <v>0.22351093897205065</v>
      </c>
      <c r="BH682" s="66"/>
      <c r="BI682" s="170"/>
      <c r="BJ682" s="66"/>
      <c r="BK682" s="66"/>
      <c r="BL682" s="66"/>
      <c r="BM682" s="144"/>
      <c r="BN682" s="65">
        <f t="shared" ref="BN682" si="659">+BC682/BW682</f>
        <v>1305471.5824665676</v>
      </c>
      <c r="BO682" s="66"/>
      <c r="BP682" s="66">
        <f t="shared" ref="BP682" si="660">+BP681+BE682</f>
        <v>63207795</v>
      </c>
      <c r="BQ682" s="66"/>
      <c r="BR682" s="435">
        <f t="shared" ref="BR682" si="661">+BP682/BC682</f>
        <v>7.1942935345134823E-2</v>
      </c>
      <c r="BS682" s="66"/>
      <c r="BT682" s="75"/>
      <c r="BU682" s="170"/>
      <c r="BV682" s="1"/>
      <c r="BW682" s="61">
        <f t="shared" si="399"/>
        <v>673</v>
      </c>
      <c r="CA682" s="56">
        <f t="shared" si="559"/>
        <v>3582375</v>
      </c>
      <c r="CC682" s="56">
        <f t="shared" si="560"/>
        <v>800700</v>
      </c>
      <c r="CG682" s="59">
        <f t="shared" si="561"/>
        <v>0.22351093897205065</v>
      </c>
    </row>
    <row r="683" spans="2:85" x14ac:dyDescent="0.3">
      <c r="B683" s="158">
        <f t="shared" si="537"/>
        <v>44583</v>
      </c>
      <c r="C683" s="61"/>
      <c r="D683" s="17">
        <v>312314</v>
      </c>
      <c r="E683" s="16"/>
      <c r="F683" s="16"/>
      <c r="G683" s="16"/>
      <c r="H683" s="16">
        <f t="shared" ref="H683" si="662">+H682+D683</f>
        <v>64427087</v>
      </c>
      <c r="I683" s="16"/>
      <c r="J683" s="436">
        <f t="shared" ref="J683" si="663">+D683/H682</f>
        <v>4.8711706426847988E-3</v>
      </c>
      <c r="K683" s="16"/>
      <c r="L683" s="16"/>
      <c r="M683" s="16"/>
      <c r="N683" s="16">
        <f t="shared" ref="N683" si="664">SUM(D677:D683)</f>
        <v>3925057</v>
      </c>
      <c r="O683" s="16">
        <f t="shared" ref="O683" si="665">+H683/BW683</f>
        <v>95589.149851632043</v>
      </c>
      <c r="P683" s="41"/>
      <c r="Q683" s="17">
        <f t="shared" ref="Q683" si="666">SUM(D677:D683)</f>
        <v>3925057</v>
      </c>
      <c r="R683" s="16"/>
      <c r="S683" s="60">
        <f t="shared" ref="S683" si="667">+(Q683-Q676)/Q676</f>
        <v>-0.18696490639357369</v>
      </c>
      <c r="T683" s="16"/>
      <c r="U683" s="41"/>
      <c r="V683" s="10">
        <f t="shared" si="558"/>
        <v>575</v>
      </c>
      <c r="W683" s="34">
        <v>841</v>
      </c>
      <c r="X683" s="33">
        <v>4256</v>
      </c>
      <c r="Y683" s="33"/>
      <c r="Z683" s="33">
        <f t="shared" ref="Z683" si="668">SUM(W678:W683)</f>
        <v>11282</v>
      </c>
      <c r="AA683" s="33">
        <f t="shared" ref="AA683" si="669">+AA682+W683</f>
        <v>800263</v>
      </c>
      <c r="AB683" s="33"/>
      <c r="AC683" s="46">
        <f t="shared" ref="AC683" si="670">+AA683/H683</f>
        <v>1.2421219664952413E-2</v>
      </c>
      <c r="AD683" s="33"/>
      <c r="AE683" s="33">
        <f t="shared" ref="AE683" si="671">+AA683/BW683</f>
        <v>1187.3338278931751</v>
      </c>
      <c r="AF683" s="50"/>
      <c r="AG683" s="33"/>
      <c r="AH683" s="33"/>
      <c r="AI683" s="213"/>
      <c r="AJ683" s="50"/>
      <c r="AL683" s="23">
        <f t="shared" ref="AL683" si="672">+AP683-AP682</f>
        <v>106766</v>
      </c>
      <c r="AM683" s="24"/>
      <c r="AN683" s="24"/>
      <c r="AO683" s="24">
        <v>178263</v>
      </c>
      <c r="AP683" s="24">
        <v>44329200</v>
      </c>
      <c r="AQ683" s="24">
        <v>20336656</v>
      </c>
      <c r="AR683" s="461">
        <f t="shared" ref="AR683" si="673">+AL683/AP682</f>
        <v>2.4142949707381552E-3</v>
      </c>
      <c r="AS683" s="25"/>
      <c r="AT683" s="25"/>
      <c r="AU683" s="24"/>
      <c r="AV683" s="298">
        <f t="shared" ref="AV683" si="674">+AP683/H683</f>
        <v>0.68805221629840252</v>
      </c>
      <c r="AW683" s="298"/>
      <c r="AX683" s="24">
        <f t="shared" ref="AX683" si="675">+AP683/BW683</f>
        <v>65770.326409495552</v>
      </c>
      <c r="AY683" s="308"/>
      <c r="BA683" s="65">
        <f t="shared" ref="BA683" si="676">+BC683-BC682</f>
        <v>1015640</v>
      </c>
      <c r="BB683" s="66"/>
      <c r="BC683" s="66">
        <v>879598015</v>
      </c>
      <c r="BD683" s="66"/>
      <c r="BE683" s="66">
        <f t="shared" ref="BE683" si="677">+D683</f>
        <v>312314</v>
      </c>
      <c r="BF683" s="66"/>
      <c r="BG683" s="144">
        <f t="shared" ref="BG683" si="678">+BE683/BA683</f>
        <v>0.30750462762396125</v>
      </c>
      <c r="BH683" s="66"/>
      <c r="BI683" s="170"/>
      <c r="BJ683" s="66"/>
      <c r="BK683" s="66"/>
      <c r="BL683" s="66"/>
      <c r="BM683" s="144"/>
      <c r="BN683" s="65">
        <f t="shared" ref="BN683" si="679">+BC683/BW683</f>
        <v>1305041.5652818992</v>
      </c>
      <c r="BO683" s="66"/>
      <c r="BP683" s="66">
        <f t="shared" ref="BP683" si="680">+BP682+BE683</f>
        <v>63520109</v>
      </c>
      <c r="BQ683" s="66"/>
      <c r="BR683" s="435">
        <f t="shared" ref="BR683" si="681">+BP683/BC683</f>
        <v>7.2214929907498712E-2</v>
      </c>
      <c r="BS683" s="66"/>
      <c r="BT683" s="75"/>
      <c r="BU683" s="170"/>
      <c r="BV683" s="1"/>
      <c r="BW683" s="61">
        <f t="shared" si="399"/>
        <v>674</v>
      </c>
      <c r="CA683" s="56">
        <f t="shared" si="559"/>
        <v>1015640</v>
      </c>
      <c r="CC683" s="56">
        <f t="shared" si="560"/>
        <v>312314</v>
      </c>
      <c r="CG683" s="59">
        <f t="shared" si="561"/>
        <v>0.30750462762396125</v>
      </c>
    </row>
    <row r="684" spans="2:85" x14ac:dyDescent="0.3">
      <c r="B684" s="347">
        <f t="shared" si="537"/>
        <v>44584</v>
      </c>
      <c r="C684" s="61"/>
      <c r="D684" s="17">
        <v>197374</v>
      </c>
      <c r="E684" s="16"/>
      <c r="F684" s="16"/>
      <c r="G684" s="16"/>
      <c r="H684" s="16">
        <f t="shared" ref="H684" si="682">+H683+D684</f>
        <v>64624461</v>
      </c>
      <c r="I684" s="16"/>
      <c r="J684" s="436">
        <f t="shared" ref="J684" si="683">+D684/H683</f>
        <v>3.0635251288018035E-3</v>
      </c>
      <c r="K684" s="16"/>
      <c r="L684" s="16"/>
      <c r="M684" s="16"/>
      <c r="N684" s="16">
        <f t="shared" ref="N684" si="684">SUM(D678:D684)</f>
        <v>3834458</v>
      </c>
      <c r="O684" s="16">
        <f t="shared" ref="O684" si="685">+H684/BW684</f>
        <v>95739.94222222222</v>
      </c>
      <c r="P684" s="41"/>
      <c r="Q684" s="17">
        <f t="shared" ref="Q684" si="686">SUM(D678:D684)</f>
        <v>3834458</v>
      </c>
      <c r="R684" s="16"/>
      <c r="S684" s="60">
        <f t="shared" ref="S684" si="687">+(Q684-Q677)/Q677</f>
        <v>-0.15967877879137057</v>
      </c>
      <c r="T684" s="16"/>
      <c r="U684" s="41"/>
      <c r="V684" s="10">
        <f t="shared" si="558"/>
        <v>576</v>
      </c>
      <c r="W684" s="34">
        <v>574</v>
      </c>
      <c r="X684" s="33">
        <v>4256</v>
      </c>
      <c r="Y684" s="33"/>
      <c r="Z684" s="33">
        <f t="shared" ref="Z684" si="688">SUM(W679:W684)</f>
        <v>11126</v>
      </c>
      <c r="AA684" s="33">
        <f t="shared" ref="AA684" si="689">+AA683+W684</f>
        <v>800837</v>
      </c>
      <c r="AB684" s="33"/>
      <c r="AC684" s="46">
        <f t="shared" ref="AC684" si="690">+AA684/H684</f>
        <v>1.2392165251482717E-2</v>
      </c>
      <c r="AD684" s="33"/>
      <c r="AE684" s="33">
        <f t="shared" ref="AE684" si="691">+AA684/BW684</f>
        <v>1186.4251851851852</v>
      </c>
      <c r="AF684" s="50"/>
      <c r="AG684" s="33"/>
      <c r="AH684" s="33"/>
      <c r="AI684" s="213"/>
      <c r="AJ684" s="50"/>
      <c r="AL684" s="23">
        <f t="shared" ref="AL684" si="692">+AP684-AP683</f>
        <v>36469</v>
      </c>
      <c r="AM684" s="24"/>
      <c r="AN684" s="24"/>
      <c r="AO684" s="24">
        <v>178263</v>
      </c>
      <c r="AP684" s="24">
        <v>44365669</v>
      </c>
      <c r="AQ684" s="24">
        <v>20336656</v>
      </c>
      <c r="AR684" s="461">
        <f t="shared" ref="AR684" si="693">+AL684/AP683</f>
        <v>8.2268572408254607E-4</v>
      </c>
      <c r="AS684" s="25"/>
      <c r="AT684" s="25"/>
      <c r="AU684" s="24"/>
      <c r="AV684" s="298">
        <f t="shared" ref="AV684" si="694">+AP684/H684</f>
        <v>0.68651511074111704</v>
      </c>
      <c r="AW684" s="298"/>
      <c r="AX684" s="24">
        <f t="shared" ref="AX684" si="695">+AP684/BW684</f>
        <v>65726.917037037041</v>
      </c>
      <c r="AY684" s="308"/>
      <c r="BA684" s="65">
        <f t="shared" ref="BA684" si="696">+BC684-BC683</f>
        <v>870358</v>
      </c>
      <c r="BB684" s="66"/>
      <c r="BC684" s="66">
        <v>880468373</v>
      </c>
      <c r="BD684" s="66"/>
      <c r="BE684" s="66">
        <f t="shared" ref="BE684" si="697">+D684</f>
        <v>197374</v>
      </c>
      <c r="BF684" s="66"/>
      <c r="BG684" s="144">
        <f t="shared" ref="BG684" si="698">+BE684/BA684</f>
        <v>0.22677335073613386</v>
      </c>
      <c r="BH684" s="66"/>
      <c r="BI684" s="170"/>
      <c r="BJ684" s="66"/>
      <c r="BK684" s="66"/>
      <c r="BL684" s="66"/>
      <c r="BM684" s="144"/>
      <c r="BN684" s="65">
        <f t="shared" ref="BN684" si="699">+BC684/BW684</f>
        <v>1304397.5896296296</v>
      </c>
      <c r="BO684" s="66"/>
      <c r="BP684" s="66">
        <f t="shared" ref="BP684" si="700">+BP683+BE684</f>
        <v>63717483</v>
      </c>
      <c r="BQ684" s="66"/>
      <c r="BR684" s="435">
        <f t="shared" ref="BR684" si="701">+BP684/BC684</f>
        <v>7.2367713541937759E-2</v>
      </c>
      <c r="BS684" s="66"/>
      <c r="BT684" s="75"/>
      <c r="BU684" s="170"/>
      <c r="BV684" s="1"/>
      <c r="BW684" s="61">
        <f t="shared" si="399"/>
        <v>675</v>
      </c>
      <c r="CA684" s="56">
        <f t="shared" si="559"/>
        <v>870358</v>
      </c>
      <c r="CC684" s="56">
        <f t="shared" si="560"/>
        <v>197374</v>
      </c>
      <c r="CG684" s="59">
        <f t="shared" si="561"/>
        <v>0.22677335073613386</v>
      </c>
    </row>
    <row r="685" spans="2:85" x14ac:dyDescent="0.3">
      <c r="B685" s="158">
        <f t="shared" si="537"/>
        <v>44585</v>
      </c>
      <c r="C685" s="61"/>
      <c r="D685" s="17">
        <v>465154</v>
      </c>
      <c r="E685" s="16"/>
      <c r="F685" s="16"/>
      <c r="G685" s="16"/>
      <c r="H685" s="16">
        <f t="shared" ref="H685" si="702">+H684+D685</f>
        <v>65089615</v>
      </c>
      <c r="I685" s="16"/>
      <c r="J685" s="436">
        <f t="shared" ref="J685" si="703">+D685/H684</f>
        <v>7.1978008451010524E-3</v>
      </c>
      <c r="K685" s="16"/>
      <c r="L685" s="16"/>
      <c r="M685" s="16"/>
      <c r="N685" s="16">
        <f t="shared" ref="N685" si="704">SUM(D679:D685)</f>
        <v>3725694</v>
      </c>
      <c r="O685" s="16">
        <f t="shared" ref="O685" si="705">+H685/BW685</f>
        <v>96286.412721893488</v>
      </c>
      <c r="P685" s="41"/>
      <c r="Q685" s="17">
        <f t="shared" ref="Q685" si="706">SUM(D679:D685)</f>
        <v>3725694</v>
      </c>
      <c r="R685" s="16"/>
      <c r="S685" s="60">
        <f t="shared" ref="S685" si="707">+(Q685-Q678)/Q678</f>
        <v>-0.16182437631102245</v>
      </c>
      <c r="T685" s="16"/>
      <c r="U685" s="41"/>
      <c r="V685" s="10">
        <f t="shared" si="558"/>
        <v>577</v>
      </c>
      <c r="W685" s="34">
        <v>1193</v>
      </c>
      <c r="X685" s="33">
        <v>4256</v>
      </c>
      <c r="Y685" s="33"/>
      <c r="Z685" s="33">
        <f t="shared" ref="Z685" si="708">SUM(W680:W685)</f>
        <v>10599</v>
      </c>
      <c r="AA685" s="33">
        <f t="shared" ref="AA685" si="709">+AA684+W685</f>
        <v>802030</v>
      </c>
      <c r="AB685" s="33"/>
      <c r="AC685" s="46">
        <f t="shared" ref="AC685" si="710">+AA685/H685</f>
        <v>1.2321934920032942E-2</v>
      </c>
      <c r="AD685" s="33"/>
      <c r="AE685" s="33">
        <f t="shared" ref="AE685" si="711">+AA685/BW685</f>
        <v>1186.4349112426034</v>
      </c>
      <c r="AF685" s="50"/>
      <c r="AG685" s="33"/>
      <c r="AH685" s="33"/>
      <c r="AI685" s="213"/>
      <c r="AJ685" s="50"/>
      <c r="AL685" s="23">
        <f t="shared" ref="AL685" si="712">+AP685-AP684</f>
        <v>463288</v>
      </c>
      <c r="AM685" s="24"/>
      <c r="AN685" s="24"/>
      <c r="AO685" s="24">
        <v>178263</v>
      </c>
      <c r="AP685" s="24">
        <v>44828957</v>
      </c>
      <c r="AQ685" s="24">
        <v>20336656</v>
      </c>
      <c r="AR685" s="461">
        <f t="shared" ref="AR685" si="713">+AL685/AP684</f>
        <v>1.0442488763101937E-2</v>
      </c>
      <c r="AS685" s="25"/>
      <c r="AT685" s="25"/>
      <c r="AU685" s="24"/>
      <c r="AV685" s="298">
        <f t="shared" ref="AV685" si="714">+AP685/H685</f>
        <v>0.68872671930844886</v>
      </c>
      <c r="AW685" s="298"/>
      <c r="AX685" s="24">
        <f t="shared" ref="AX685" si="715">+AP685/BW685</f>
        <v>66315.025147928987</v>
      </c>
      <c r="AY685" s="308"/>
      <c r="BA685" s="65">
        <f t="shared" ref="BA685" si="716">+BC685-BC684</f>
        <v>6136836</v>
      </c>
      <c r="BB685" s="66"/>
      <c r="BC685" s="66">
        <v>886605209</v>
      </c>
      <c r="BD685" s="66"/>
      <c r="BE685" s="66">
        <f t="shared" ref="BE685" si="717">+D685</f>
        <v>465154</v>
      </c>
      <c r="BF685" s="66"/>
      <c r="BG685" s="144">
        <f t="shared" ref="BG685" si="718">+BE685/BA685</f>
        <v>7.5797039386419976E-2</v>
      </c>
      <c r="BH685" s="66"/>
      <c r="BI685" s="170"/>
      <c r="BJ685" s="66"/>
      <c r="BK685" s="66"/>
      <c r="BL685" s="66"/>
      <c r="BM685" s="144"/>
      <c r="BN685" s="65">
        <f t="shared" ref="BN685" si="719">+BC685/BW685</f>
        <v>1311546.1671597634</v>
      </c>
      <c r="BO685" s="66"/>
      <c r="BP685" s="66">
        <f t="shared" ref="BP685" si="720">+BP684+BE685</f>
        <v>64182637</v>
      </c>
      <c r="BQ685" s="66"/>
      <c r="BR685" s="435">
        <f t="shared" ref="BR685" si="721">+BP685/BC685</f>
        <v>7.2391450386797812E-2</v>
      </c>
      <c r="BS685" s="66"/>
      <c r="BT685" s="75"/>
      <c r="BU685" s="170"/>
      <c r="BV685" s="1"/>
      <c r="BW685" s="61">
        <f t="shared" si="399"/>
        <v>676</v>
      </c>
      <c r="CA685" s="56">
        <f t="shared" si="559"/>
        <v>6136836</v>
      </c>
      <c r="CC685" s="56">
        <f t="shared" si="560"/>
        <v>465154</v>
      </c>
      <c r="CG685" s="59">
        <f t="shared" si="561"/>
        <v>7.5797039386419976E-2</v>
      </c>
    </row>
    <row r="686" spans="2:85" x14ac:dyDescent="0.3">
      <c r="B686" s="158">
        <f t="shared" si="537"/>
        <v>44586</v>
      </c>
      <c r="C686" s="61"/>
      <c r="D686" s="17">
        <v>443072</v>
      </c>
      <c r="E686" s="16"/>
      <c r="F686" s="16"/>
      <c r="G686" s="16"/>
      <c r="H686" s="16">
        <f t="shared" ref="H686" si="722">+H685+D686</f>
        <v>65532687</v>
      </c>
      <c r="I686" s="16"/>
      <c r="J686" s="436">
        <f t="shared" ref="J686" si="723">+D686/H685</f>
        <v>6.807107401080802E-3</v>
      </c>
      <c r="K686" s="16"/>
      <c r="L686" s="16"/>
      <c r="M686" s="16"/>
      <c r="N686" s="16">
        <f t="shared" ref="N686" si="724">SUM(D680:D686)</f>
        <v>3621862</v>
      </c>
      <c r="O686" s="16">
        <f t="shared" ref="O686" si="725">+H686/BW686</f>
        <v>96798.651403249634</v>
      </c>
      <c r="P686" s="41"/>
      <c r="Q686" s="17">
        <f t="shared" ref="Q686" si="726">SUM(D680:D686)</f>
        <v>3621862</v>
      </c>
      <c r="R686" s="16"/>
      <c r="S686" s="60">
        <f t="shared" ref="S686" si="727">+(Q686-Q679)/Q679</f>
        <v>-0.16141889069690551</v>
      </c>
      <c r="T686" s="16"/>
      <c r="U686" s="41"/>
      <c r="V686" s="10">
        <f t="shared" si="558"/>
        <v>578</v>
      </c>
      <c r="W686" s="34">
        <v>2611</v>
      </c>
      <c r="X686" s="33">
        <v>4256</v>
      </c>
      <c r="Y686" s="33"/>
      <c r="Z686" s="33">
        <f t="shared" ref="Z686" si="728">SUM(W681:W686)</f>
        <v>10836</v>
      </c>
      <c r="AA686" s="33">
        <f t="shared" ref="AA686" si="729">+AA685+W686</f>
        <v>804641</v>
      </c>
      <c r="AB686" s="33"/>
      <c r="AC686" s="46">
        <f t="shared" ref="AC686" si="730">+AA686/H686</f>
        <v>1.227846799567367E-2</v>
      </c>
      <c r="AD686" s="33"/>
      <c r="AE686" s="33">
        <f t="shared" ref="AE686" si="731">+AA686/BW686</f>
        <v>1188.5391432791728</v>
      </c>
      <c r="AF686" s="50"/>
      <c r="AG686" s="33"/>
      <c r="AH686" s="33"/>
      <c r="AI686" s="213"/>
      <c r="AJ686" s="50"/>
      <c r="AL686" s="23">
        <f t="shared" ref="AL686" si="732">+AP686-AP685</f>
        <v>291023</v>
      </c>
      <c r="AM686" s="24"/>
      <c r="AN686" s="24"/>
      <c r="AO686" s="24">
        <v>178263</v>
      </c>
      <c r="AP686" s="24">
        <v>45119980</v>
      </c>
      <c r="AQ686" s="24">
        <v>20336656</v>
      </c>
      <c r="AR686" s="461">
        <f t="shared" ref="AR686" si="733">+AL686/AP685</f>
        <v>6.4918530225898411E-3</v>
      </c>
      <c r="AS686" s="25"/>
      <c r="AT686" s="25"/>
      <c r="AU686" s="24"/>
      <c r="AV686" s="298">
        <f t="shared" ref="AV686" si="734">+AP686/H686</f>
        <v>0.68851106318897015</v>
      </c>
      <c r="AW686" s="298"/>
      <c r="AX686" s="24">
        <f t="shared" ref="AX686" si="735">+AP686/BW686</f>
        <v>66646.942392909899</v>
      </c>
      <c r="AY686" s="308"/>
      <c r="BA686" s="65">
        <f t="shared" ref="BA686" si="736">+BC686-BC685</f>
        <v>2277258</v>
      </c>
      <c r="BB686" s="66"/>
      <c r="BC686" s="66">
        <v>888882467</v>
      </c>
      <c r="BD686" s="66"/>
      <c r="BE686" s="66">
        <f t="shared" ref="BE686" si="737">+D686</f>
        <v>443072</v>
      </c>
      <c r="BF686" s="66"/>
      <c r="BG686" s="144">
        <f t="shared" ref="BG686" si="738">+BE686/BA686</f>
        <v>0.19456381314721477</v>
      </c>
      <c r="BH686" s="66"/>
      <c r="BI686" s="170"/>
      <c r="BJ686" s="66"/>
      <c r="BK686" s="66"/>
      <c r="BL686" s="66"/>
      <c r="BM686" s="144"/>
      <c r="BN686" s="65">
        <f t="shared" ref="BN686" si="739">+BC686/BW686</f>
        <v>1312972.6248153618</v>
      </c>
      <c r="BO686" s="66"/>
      <c r="BP686" s="66">
        <f t="shared" ref="BP686" si="740">+BP685+BE686</f>
        <v>64625709</v>
      </c>
      <c r="BQ686" s="66"/>
      <c r="BR686" s="435">
        <f t="shared" ref="BR686" si="741">+BP686/BC686</f>
        <v>7.270444788737182E-2</v>
      </c>
      <c r="BS686" s="66"/>
      <c r="BT686" s="75"/>
      <c r="BU686" s="170"/>
      <c r="BV686" s="1"/>
      <c r="BW686" s="61">
        <f t="shared" si="399"/>
        <v>677</v>
      </c>
      <c r="CA686" s="56">
        <f t="shared" si="559"/>
        <v>2277258</v>
      </c>
      <c r="CC686" s="56">
        <f t="shared" si="560"/>
        <v>443072</v>
      </c>
      <c r="CG686" s="59">
        <f t="shared" si="561"/>
        <v>0.19456381314721477</v>
      </c>
    </row>
    <row r="687" spans="2:85" x14ac:dyDescent="0.3">
      <c r="B687" s="158">
        <f t="shared" si="537"/>
        <v>44587</v>
      </c>
      <c r="C687" s="61"/>
      <c r="D687" s="17">
        <v>533313</v>
      </c>
      <c r="E687" s="16"/>
      <c r="F687" s="16"/>
      <c r="G687" s="16"/>
      <c r="H687" s="16">
        <f t="shared" ref="H687" si="742">+H686+D687</f>
        <v>66066000</v>
      </c>
      <c r="I687" s="16"/>
      <c r="J687" s="436">
        <f t="shared" ref="J687" si="743">+D687/H686</f>
        <v>8.138121972627187E-3</v>
      </c>
      <c r="K687" s="16"/>
      <c r="L687" s="16"/>
      <c r="M687" s="16"/>
      <c r="N687" s="16">
        <f t="shared" ref="N687" si="744">SUM(D681:D687)</f>
        <v>3444247</v>
      </c>
      <c r="O687" s="16">
        <f t="shared" ref="O687" si="745">+H687/BW687</f>
        <v>97442.47787610619</v>
      </c>
      <c r="P687" s="41"/>
      <c r="Q687" s="17">
        <f t="shared" ref="Q687" si="746">SUM(D681:D687)</f>
        <v>3444247</v>
      </c>
      <c r="R687" s="16"/>
      <c r="S687" s="60">
        <f t="shared" ref="S687" si="747">+(Q687-Q680)/Q680</f>
        <v>-0.17155595601094795</v>
      </c>
      <c r="T687" s="16"/>
      <c r="U687" s="41"/>
      <c r="V687" s="10">
        <f t="shared" si="558"/>
        <v>579</v>
      </c>
      <c r="W687" s="34">
        <v>3143</v>
      </c>
      <c r="X687" s="33">
        <v>4256</v>
      </c>
      <c r="Y687" s="33"/>
      <c r="Z687" s="33">
        <f t="shared" ref="Z687" si="748">SUM(W682:W687)</f>
        <v>11279</v>
      </c>
      <c r="AA687" s="33">
        <f t="shared" ref="AA687" si="749">+AA686+W687</f>
        <v>807784</v>
      </c>
      <c r="AB687" s="33"/>
      <c r="AC687" s="46">
        <f t="shared" ref="AC687" si="750">+AA687/H687</f>
        <v>1.2226924590560954E-2</v>
      </c>
      <c r="AD687" s="33"/>
      <c r="AE687" s="33">
        <f t="shared" ref="AE687" si="751">+AA687/BW687</f>
        <v>1191.4218289085545</v>
      </c>
      <c r="AF687" s="50"/>
      <c r="AG687" s="33"/>
      <c r="AH687" s="33"/>
      <c r="AI687" s="213"/>
      <c r="AJ687" s="50"/>
      <c r="AL687" s="23">
        <f t="shared" ref="AL687" si="752">+AP687-AP686</f>
        <v>301338</v>
      </c>
      <c r="AM687" s="24"/>
      <c r="AN687" s="24"/>
      <c r="AO687" s="24">
        <v>178263</v>
      </c>
      <c r="AP687" s="24">
        <v>45421318</v>
      </c>
      <c r="AQ687" s="24">
        <v>20336656</v>
      </c>
      <c r="AR687" s="461">
        <f t="shared" ref="AR687" si="753">+AL687/AP686</f>
        <v>6.6785933859013239E-3</v>
      </c>
      <c r="AS687" s="25"/>
      <c r="AT687" s="25"/>
      <c r="AU687" s="24"/>
      <c r="AV687" s="298">
        <f t="shared" ref="AV687" si="754">+AP687/H687</f>
        <v>0.68751427360518269</v>
      </c>
      <c r="AW687" s="298"/>
      <c r="AX687" s="24">
        <f t="shared" ref="AX687" si="755">+AP687/BW687</f>
        <v>66993.094395280234</v>
      </c>
      <c r="AY687" s="308"/>
      <c r="BA687" s="65">
        <f t="shared" ref="BA687" si="756">+BC687-BC686</f>
        <v>2763890</v>
      </c>
      <c r="BB687" s="66"/>
      <c r="BC687" s="66">
        <v>891646357</v>
      </c>
      <c r="BD687" s="66"/>
      <c r="BE687" s="66">
        <f t="shared" ref="BE687" si="757">+D687</f>
        <v>533313</v>
      </c>
      <c r="BF687" s="66"/>
      <c r="BG687" s="144">
        <f t="shared" ref="BG687" si="758">+BE687/BA687</f>
        <v>0.19295738976587345</v>
      </c>
      <c r="BH687" s="66"/>
      <c r="BI687" s="170"/>
      <c r="BJ687" s="66"/>
      <c r="BK687" s="66"/>
      <c r="BL687" s="66"/>
      <c r="BM687" s="144"/>
      <c r="BN687" s="65">
        <f t="shared" ref="BN687" si="759">+BC687/BW687</f>
        <v>1315112.6209439528</v>
      </c>
      <c r="BO687" s="66"/>
      <c r="BP687" s="66">
        <f t="shared" ref="BP687" si="760">+BP686+BE687</f>
        <v>65159022</v>
      </c>
      <c r="BQ687" s="66"/>
      <c r="BR687" s="435">
        <f t="shared" ref="BR687" si="761">+BP687/BC687</f>
        <v>7.307720318538799E-2</v>
      </c>
      <c r="BS687" s="66"/>
      <c r="BT687" s="75"/>
      <c r="BU687" s="170"/>
      <c r="BV687" s="1"/>
      <c r="BW687" s="61">
        <f t="shared" si="399"/>
        <v>678</v>
      </c>
      <c r="CA687" s="56">
        <f t="shared" si="559"/>
        <v>2763890</v>
      </c>
      <c r="CC687" s="56">
        <f t="shared" si="560"/>
        <v>533313</v>
      </c>
      <c r="CG687" s="59">
        <f t="shared" si="561"/>
        <v>0.19295738976587345</v>
      </c>
    </row>
    <row r="688" spans="2:85" x14ac:dyDescent="0.3">
      <c r="B688" s="158">
        <f t="shared" si="537"/>
        <v>44588</v>
      </c>
      <c r="C688" s="61"/>
      <c r="D688" s="17">
        <v>497351</v>
      </c>
      <c r="E688" s="16"/>
      <c r="F688" s="16"/>
      <c r="G688" s="16"/>
      <c r="H688" s="16">
        <f t="shared" ref="H688" si="762">+H687+D688</f>
        <v>66563351</v>
      </c>
      <c r="I688" s="16"/>
      <c r="J688" s="436">
        <f t="shared" ref="J688" si="763">+D688/H687</f>
        <v>7.5280931190022096E-3</v>
      </c>
      <c r="K688" s="16"/>
      <c r="L688" s="16"/>
      <c r="M688" s="16"/>
      <c r="N688" s="16">
        <f t="shared" ref="N688" si="764">SUM(D682:D688)</f>
        <v>3249278</v>
      </c>
      <c r="O688" s="16">
        <f t="shared" ref="O688" si="765">+H688/BW688</f>
        <v>98031.444771723123</v>
      </c>
      <c r="P688" s="41"/>
      <c r="Q688" s="17">
        <f t="shared" ref="Q688" si="766">SUM(D682:D688)</f>
        <v>3249278</v>
      </c>
      <c r="R688" s="16"/>
      <c r="S688" s="60">
        <f t="shared" ref="S688" si="767">+(Q688-Q681)/Q681</f>
        <v>-0.19638286990183304</v>
      </c>
      <c r="T688" s="16"/>
      <c r="U688" s="41"/>
      <c r="V688" s="10">
        <f t="shared" si="558"/>
        <v>580</v>
      </c>
      <c r="W688" s="34">
        <v>2689</v>
      </c>
      <c r="X688" s="33">
        <v>4256</v>
      </c>
      <c r="Y688" s="33"/>
      <c r="Z688" s="33">
        <f t="shared" ref="Z688" si="768">SUM(W683:W688)</f>
        <v>11051</v>
      </c>
      <c r="AA688" s="33">
        <f t="shared" ref="AA688" si="769">+AA687+W688</f>
        <v>810473</v>
      </c>
      <c r="AB688" s="33"/>
      <c r="AC688" s="46">
        <f t="shared" ref="AC688" si="770">+AA688/H688</f>
        <v>1.217596451837288E-2</v>
      </c>
      <c r="AD688" s="33"/>
      <c r="AE688" s="33">
        <f t="shared" ref="AE688" si="771">+AA688/BW688</f>
        <v>1193.6273932253314</v>
      </c>
      <c r="AF688" s="50"/>
      <c r="AG688" s="33"/>
      <c r="AH688" s="33"/>
      <c r="AI688" s="213"/>
      <c r="AJ688" s="50"/>
      <c r="AL688" s="23">
        <f t="shared" ref="AL688" si="772">+AP688-AP687</f>
        <v>192894</v>
      </c>
      <c r="AM688" s="24"/>
      <c r="AN688" s="24"/>
      <c r="AO688" s="24">
        <v>178263</v>
      </c>
      <c r="AP688" s="24">
        <v>45614212</v>
      </c>
      <c r="AQ688" s="24">
        <v>20336656</v>
      </c>
      <c r="AR688" s="461">
        <f t="shared" ref="AR688" si="773">+AL688/AP687</f>
        <v>4.2467724076170575E-3</v>
      </c>
      <c r="AS688" s="25"/>
      <c r="AT688" s="25"/>
      <c r="AU688" s="24"/>
      <c r="AV688" s="298">
        <f t="shared" ref="AV688" si="774">+AP688/H688</f>
        <v>0.68527517492320966</v>
      </c>
      <c r="AW688" s="298"/>
      <c r="AX688" s="24">
        <f t="shared" ref="AX688" si="775">+AP688/BW688</f>
        <v>67178.515463917531</v>
      </c>
      <c r="AY688" s="308"/>
      <c r="BA688" s="65">
        <f t="shared" ref="BA688" si="776">+BC688-BC687</f>
        <v>2673321</v>
      </c>
      <c r="BB688" s="66"/>
      <c r="BC688" s="66">
        <v>894319678</v>
      </c>
      <c r="BD688" s="66"/>
      <c r="BE688" s="66">
        <f t="shared" ref="BE688" si="777">+D688</f>
        <v>497351</v>
      </c>
      <c r="BF688" s="66"/>
      <c r="BG688" s="144">
        <f t="shared" ref="BG688" si="778">+BE688/BA688</f>
        <v>0.18604237949726202</v>
      </c>
      <c r="BH688" s="66"/>
      <c r="BI688" s="170"/>
      <c r="BJ688" s="66"/>
      <c r="BK688" s="66"/>
      <c r="BL688" s="66"/>
      <c r="BM688" s="144"/>
      <c r="BN688" s="65">
        <f t="shared" ref="BN688" si="779">+BC688/BW688</f>
        <v>1317112.9278350514</v>
      </c>
      <c r="BO688" s="66"/>
      <c r="BP688" s="66">
        <f t="shared" ref="BP688" si="780">+BP687+BE688</f>
        <v>65656373</v>
      </c>
      <c r="BQ688" s="66"/>
      <c r="BR688" s="435">
        <f t="shared" ref="BR688" si="781">+BP688/BC688</f>
        <v>7.3414881294829343E-2</v>
      </c>
      <c r="BS688" s="66"/>
      <c r="BT688" s="75"/>
      <c r="BU688" s="170"/>
      <c r="BV688" s="1"/>
      <c r="BW688" s="61">
        <f t="shared" si="399"/>
        <v>679</v>
      </c>
      <c r="CA688" s="56">
        <f t="shared" si="559"/>
        <v>2673321</v>
      </c>
      <c r="CC688" s="56">
        <f t="shared" si="560"/>
        <v>497351</v>
      </c>
      <c r="CG688" s="59">
        <f t="shared" si="561"/>
        <v>0.18604237949726202</v>
      </c>
    </row>
    <row r="689" spans="2:85" x14ac:dyDescent="0.3">
      <c r="B689" s="158">
        <f t="shared" si="537"/>
        <v>44589</v>
      </c>
      <c r="C689" s="61"/>
      <c r="D689" s="17">
        <v>522300</v>
      </c>
      <c r="E689" s="16"/>
      <c r="F689" s="16"/>
      <c r="G689" s="16"/>
      <c r="H689" s="16">
        <f t="shared" ref="H689" si="782">+H688+D689</f>
        <v>67085651</v>
      </c>
      <c r="I689" s="16"/>
      <c r="J689" s="436">
        <f t="shared" ref="J689" si="783">+D689/H688</f>
        <v>7.8466602440132559E-3</v>
      </c>
      <c r="K689" s="16"/>
      <c r="L689" s="16"/>
      <c r="M689" s="16"/>
      <c r="N689" s="16">
        <f t="shared" ref="N689" si="784">SUM(D683:D689)</f>
        <v>2970878</v>
      </c>
      <c r="O689" s="16">
        <f t="shared" ref="O689" si="785">+H689/BW689</f>
        <v>98655.36911764706</v>
      </c>
      <c r="P689" s="41"/>
      <c r="Q689" s="17">
        <f t="shared" ref="Q689" si="786">SUM(D683:D689)</f>
        <v>2970878</v>
      </c>
      <c r="R689" s="16"/>
      <c r="S689" s="60">
        <f t="shared" ref="S689" si="787">+(Q689-Q682)/Q682</f>
        <v>-0.26040234171561838</v>
      </c>
      <c r="T689" s="16"/>
      <c r="U689" s="41"/>
      <c r="V689" s="10">
        <f t="shared" si="558"/>
        <v>581</v>
      </c>
      <c r="W689" s="34">
        <v>2732</v>
      </c>
      <c r="X689" s="33">
        <v>4256</v>
      </c>
      <c r="Y689" s="33"/>
      <c r="Z689" s="33">
        <f t="shared" ref="Z689" si="788">SUM(W684:W689)</f>
        <v>12942</v>
      </c>
      <c r="AA689" s="33">
        <f t="shared" ref="AA689" si="789">+AA688+W689</f>
        <v>813205</v>
      </c>
      <c r="AB689" s="33"/>
      <c r="AC689" s="46">
        <f t="shared" ref="AC689" si="790">+AA689/H689</f>
        <v>1.2121891758939627E-2</v>
      </c>
      <c r="AD689" s="33"/>
      <c r="AE689" s="33">
        <f t="shared" ref="AE689" si="791">+AA689/BW689</f>
        <v>1195.8897058823529</v>
      </c>
      <c r="AF689" s="50"/>
      <c r="AG689" s="33"/>
      <c r="AH689" s="33"/>
      <c r="AI689" s="213"/>
      <c r="AJ689" s="50"/>
      <c r="AL689" s="23">
        <f t="shared" ref="AL689" si="792">+AP689-AP688</f>
        <v>192176</v>
      </c>
      <c r="AM689" s="24"/>
      <c r="AN689" s="24"/>
      <c r="AO689" s="24">
        <v>178263</v>
      </c>
      <c r="AP689" s="24">
        <v>45806388</v>
      </c>
      <c r="AQ689" s="24">
        <v>20336656</v>
      </c>
      <c r="AR689" s="461">
        <f t="shared" ref="AR689" si="793">+AL689/AP688</f>
        <v>4.2130728905280662E-3</v>
      </c>
      <c r="AS689" s="25"/>
      <c r="AT689" s="25"/>
      <c r="AU689" s="24"/>
      <c r="AV689" s="298">
        <f t="shared" ref="AV689" si="794">+AP689/H689</f>
        <v>0.68280455383819705</v>
      </c>
      <c r="AW689" s="298"/>
      <c r="AX689" s="24">
        <f t="shared" ref="AX689" si="795">+AP689/BW689</f>
        <v>67362.335294117642</v>
      </c>
      <c r="AY689" s="308"/>
      <c r="BA689" s="65">
        <f t="shared" ref="BA689" si="796">+BC689-BC688</f>
        <v>2652002</v>
      </c>
      <c r="BB689" s="66"/>
      <c r="BC689" s="66">
        <v>896971680</v>
      </c>
      <c r="BD689" s="66"/>
      <c r="BE689" s="66">
        <f t="shared" ref="BE689" si="797">+D689</f>
        <v>522300</v>
      </c>
      <c r="BF689" s="66"/>
      <c r="BG689" s="144">
        <f t="shared" ref="BG689" si="798">+BE689/BA689</f>
        <v>0.19694555283140813</v>
      </c>
      <c r="BH689" s="66"/>
      <c r="BI689" s="170"/>
      <c r="BJ689" s="66"/>
      <c r="BK689" s="66"/>
      <c r="BL689" s="66"/>
      <c r="BM689" s="144"/>
      <c r="BN689" s="65">
        <f t="shared" ref="BN689" si="799">+BC689/BW689</f>
        <v>1319076</v>
      </c>
      <c r="BO689" s="66"/>
      <c r="BP689" s="66">
        <f t="shared" ref="BP689" si="800">+BP688+BE689</f>
        <v>66178673</v>
      </c>
      <c r="BQ689" s="66"/>
      <c r="BR689" s="435">
        <f t="shared" ref="BR689" si="801">+BP689/BC689</f>
        <v>7.3780114217206941E-2</v>
      </c>
      <c r="BS689" s="66"/>
      <c r="BT689" s="75"/>
      <c r="BU689" s="170"/>
      <c r="BV689" s="1"/>
      <c r="BW689" s="61">
        <f t="shared" si="399"/>
        <v>680</v>
      </c>
      <c r="CA689" s="56">
        <f t="shared" si="559"/>
        <v>2652002</v>
      </c>
      <c r="CC689" s="56">
        <f t="shared" si="560"/>
        <v>522300</v>
      </c>
      <c r="CG689" s="59">
        <f t="shared" si="561"/>
        <v>0.19694555283140813</v>
      </c>
    </row>
    <row r="690" spans="2:85" x14ac:dyDescent="0.3">
      <c r="B690" s="158">
        <f t="shared" si="537"/>
        <v>44590</v>
      </c>
      <c r="C690" s="61"/>
      <c r="D690" s="17">
        <v>192028</v>
      </c>
      <c r="E690" s="16"/>
      <c r="F690" s="16"/>
      <c r="G690" s="16"/>
      <c r="H690" s="16">
        <f t="shared" ref="H690" si="802">+H689+D690</f>
        <v>67277679</v>
      </c>
      <c r="I690" s="16"/>
      <c r="J690" s="436">
        <f t="shared" ref="J690" si="803">+D690/H689</f>
        <v>2.8624302982466401E-3</v>
      </c>
      <c r="K690" s="16"/>
      <c r="L690" s="16"/>
      <c r="M690" s="16"/>
      <c r="N690" s="16">
        <f t="shared" ref="N690" si="804">SUM(D684:D690)</f>
        <v>2850592</v>
      </c>
      <c r="O690" s="16">
        <f t="shared" ref="O690" si="805">+H690/BW690</f>
        <v>98792.480176211451</v>
      </c>
      <c r="P690" s="41"/>
      <c r="Q690" s="17">
        <f t="shared" ref="Q690" si="806">SUM(D684:D690)</f>
        <v>2850592</v>
      </c>
      <c r="R690" s="16"/>
      <c r="S690" s="60">
        <f t="shared" ref="S690" si="807">+(Q690-Q683)/Q683</f>
        <v>-0.27374506917988706</v>
      </c>
      <c r="T690" s="16"/>
      <c r="U690" s="41"/>
      <c r="V690" s="10">
        <f t="shared" si="558"/>
        <v>582</v>
      </c>
      <c r="W690" s="34">
        <v>1127</v>
      </c>
      <c r="X690" s="33">
        <v>4256</v>
      </c>
      <c r="Y690" s="33"/>
      <c r="Z690" s="33">
        <f t="shared" ref="Z690" si="808">SUM(W685:W690)</f>
        <v>13495</v>
      </c>
      <c r="AA690" s="33">
        <f t="shared" ref="AA690" si="809">+AA689+W690</f>
        <v>814332</v>
      </c>
      <c r="AB690" s="33"/>
      <c r="AC690" s="46">
        <f t="shared" ref="AC690" si="810">+AA690/H690</f>
        <v>1.2104044195698249E-2</v>
      </c>
      <c r="AD690" s="33"/>
      <c r="AE690" s="33">
        <f t="shared" ref="AE690" si="811">+AA690/BW690</f>
        <v>1195.7885462555066</v>
      </c>
      <c r="AF690" s="50"/>
      <c r="AG690" s="33"/>
      <c r="AH690" s="33"/>
      <c r="AI690" s="213"/>
      <c r="AJ690" s="50"/>
      <c r="AL690" s="23">
        <f t="shared" ref="AL690" si="812">+AP690-AP689</f>
        <v>76132</v>
      </c>
      <c r="AM690" s="24"/>
      <c r="AN690" s="24"/>
      <c r="AO690" s="24">
        <v>178263</v>
      </c>
      <c r="AP690" s="24">
        <v>45882520</v>
      </c>
      <c r="AQ690" s="24">
        <v>20336656</v>
      </c>
      <c r="AR690" s="461">
        <f t="shared" ref="AR690" si="813">+AL690/AP689</f>
        <v>1.6620389278456096E-3</v>
      </c>
      <c r="AS690" s="25"/>
      <c r="AT690" s="25"/>
      <c r="AU690" s="24"/>
      <c r="AV690" s="298">
        <f t="shared" ref="AV690" si="814">+AP690/H690</f>
        <v>0.68198726058905812</v>
      </c>
      <c r="AW690" s="298"/>
      <c r="AX690" s="24">
        <f t="shared" ref="AX690" si="815">+AP690/BW690</f>
        <v>67375.212922173276</v>
      </c>
      <c r="AY690" s="308"/>
      <c r="BA690" s="65">
        <f t="shared" ref="BA690" si="816">+BC690-BC689</f>
        <v>824228</v>
      </c>
      <c r="BB690" s="66"/>
      <c r="BC690" s="66">
        <v>897795908</v>
      </c>
      <c r="BD690" s="66"/>
      <c r="BE690" s="66">
        <f t="shared" ref="BE690" si="817">+D690</f>
        <v>192028</v>
      </c>
      <c r="BF690" s="66"/>
      <c r="BG690" s="144">
        <f t="shared" ref="BG690" si="818">+BE690/BA690</f>
        <v>0.23297922419524694</v>
      </c>
      <c r="BH690" s="66"/>
      <c r="BI690" s="170"/>
      <c r="BJ690" s="66"/>
      <c r="BK690" s="66"/>
      <c r="BL690" s="66"/>
      <c r="BM690" s="144"/>
      <c r="BN690" s="65">
        <f t="shared" ref="BN690" si="819">+BC690/BW690</f>
        <v>1318349.3509544786</v>
      </c>
      <c r="BO690" s="66"/>
      <c r="BP690" s="66">
        <f t="shared" ref="BP690" si="820">+BP689+BE690</f>
        <v>66370701</v>
      </c>
      <c r="BQ690" s="66"/>
      <c r="BR690" s="435">
        <f t="shared" ref="BR690" si="821">+BP690/BC690</f>
        <v>7.3926268106804513E-2</v>
      </c>
      <c r="BS690" s="66"/>
      <c r="BT690" s="75"/>
      <c r="BU690" s="170"/>
      <c r="BV690" s="1"/>
      <c r="BW690" s="61">
        <f t="shared" si="399"/>
        <v>681</v>
      </c>
      <c r="BY690" s="145">
        <f>SUM(BA684:BA690)</f>
        <v>18197893</v>
      </c>
      <c r="CA690" s="56">
        <f t="shared" si="559"/>
        <v>824228</v>
      </c>
      <c r="CC690" s="56">
        <f t="shared" si="560"/>
        <v>192028</v>
      </c>
      <c r="CG690" s="59">
        <f t="shared" si="561"/>
        <v>0.23297922419524694</v>
      </c>
    </row>
    <row r="691" spans="2:85" x14ac:dyDescent="0.3">
      <c r="B691" s="347">
        <f t="shared" si="537"/>
        <v>44591</v>
      </c>
      <c r="C691" s="61"/>
      <c r="D691" s="17">
        <v>157623</v>
      </c>
      <c r="E691" s="16"/>
      <c r="F691" s="16"/>
      <c r="G691" s="16"/>
      <c r="H691" s="16">
        <f t="shared" ref="H691" si="822">+H690+D691</f>
        <v>67435302</v>
      </c>
      <c r="I691" s="16"/>
      <c r="J691" s="436">
        <f t="shared" ref="J691" si="823">+D691/H690</f>
        <v>2.3428721433746249E-3</v>
      </c>
      <c r="K691" s="16"/>
      <c r="L691" s="16"/>
      <c r="M691" s="16"/>
      <c r="N691" s="16">
        <f t="shared" ref="N691" si="824">SUM(D685:D691)</f>
        <v>2810841</v>
      </c>
      <c r="O691" s="16">
        <f t="shared" ref="O691" si="825">+H691/BW691</f>
        <v>98878.741935483864</v>
      </c>
      <c r="P691" s="41"/>
      <c r="Q691" s="17">
        <f t="shared" ref="Q691" si="826">SUM(D685:D691)</f>
        <v>2810841</v>
      </c>
      <c r="R691" s="16"/>
      <c r="S691" s="60">
        <f t="shared" ref="S691" si="827">+(Q691-Q684)/Q684</f>
        <v>-0.26695220028489031</v>
      </c>
      <c r="T691" s="16"/>
      <c r="U691" s="41"/>
      <c r="V691" s="10">
        <f t="shared" si="558"/>
        <v>583</v>
      </c>
      <c r="W691" s="34">
        <v>599</v>
      </c>
      <c r="X691" s="33">
        <v>4256</v>
      </c>
      <c r="Y691" s="33"/>
      <c r="Z691" s="33">
        <f t="shared" ref="Z691" si="828">SUM(W686:W691)</f>
        <v>12901</v>
      </c>
      <c r="AA691" s="33">
        <f t="shared" ref="AA691" si="829">+AA690+W691</f>
        <v>814931</v>
      </c>
      <c r="AB691" s="33"/>
      <c r="AC691" s="46">
        <f t="shared" ref="AC691" si="830">+AA691/H691</f>
        <v>1.208463484007234E-2</v>
      </c>
      <c r="AD691" s="33"/>
      <c r="AE691" s="33">
        <f t="shared" ref="AE691" si="831">+AA691/BW691</f>
        <v>1194.9134897360705</v>
      </c>
      <c r="AF691" s="50"/>
      <c r="AG691" s="33"/>
      <c r="AH691" s="33"/>
      <c r="AI691" s="213"/>
      <c r="AJ691" s="50"/>
      <c r="AL691" s="23">
        <f t="shared" ref="AL691" si="832">+AP691-AP690</f>
        <v>55465</v>
      </c>
      <c r="AM691" s="24"/>
      <c r="AN691" s="24"/>
      <c r="AO691" s="24">
        <v>178263</v>
      </c>
      <c r="AP691" s="24">
        <v>45937985</v>
      </c>
      <c r="AQ691" s="24">
        <v>20336656</v>
      </c>
      <c r="AR691" s="461">
        <f t="shared" ref="AR691" si="833">+AL691/AP690</f>
        <v>1.2088481626554078E-3</v>
      </c>
      <c r="AS691" s="25"/>
      <c r="AT691" s="25"/>
      <c r="AU691" s="24"/>
      <c r="AV691" s="298">
        <f t="shared" ref="AV691" si="834">+AP691/H691</f>
        <v>0.68121567839942354</v>
      </c>
      <c r="AW691" s="298"/>
      <c r="AX691" s="24">
        <f t="shared" ref="AX691" si="835">+AP691/BW691</f>
        <v>67357.749266862171</v>
      </c>
      <c r="AY691" s="308"/>
      <c r="BA691" s="65">
        <f t="shared" ref="BA691" si="836">+BC691-BC690</f>
        <v>1479416</v>
      </c>
      <c r="BB691" s="66"/>
      <c r="BC691" s="66">
        <v>899275324</v>
      </c>
      <c r="BD691" s="66"/>
      <c r="BE691" s="66">
        <f t="shared" ref="BE691" si="837">+D691</f>
        <v>157623</v>
      </c>
      <c r="BF691" s="66"/>
      <c r="BG691" s="144">
        <f t="shared" ref="BG691" si="838">+BE691/BA691</f>
        <v>0.1065440687406382</v>
      </c>
      <c r="BH691" s="66"/>
      <c r="BI691" s="170"/>
      <c r="BJ691" s="66"/>
      <c r="BK691" s="66"/>
      <c r="BL691" s="66"/>
      <c r="BM691" s="144"/>
      <c r="BN691" s="65">
        <f t="shared" ref="BN691" si="839">+BC691/BW691</f>
        <v>1318585.5190615836</v>
      </c>
      <c r="BO691" s="66"/>
      <c r="BP691" s="66">
        <f t="shared" ref="BP691" si="840">+BP690+BE691</f>
        <v>66528324</v>
      </c>
      <c r="BQ691" s="66"/>
      <c r="BR691" s="435">
        <f t="shared" ref="BR691" si="841">+BP691/BC691</f>
        <v>7.3979928309475113E-2</v>
      </c>
      <c r="BS691" s="66"/>
      <c r="BT691" s="75"/>
      <c r="BU691" s="170"/>
      <c r="BV691" s="1"/>
      <c r="BW691" s="61">
        <f t="shared" si="399"/>
        <v>682</v>
      </c>
      <c r="CA691" s="56">
        <f t="shared" si="559"/>
        <v>1479416</v>
      </c>
      <c r="CC691" s="56">
        <f t="shared" si="560"/>
        <v>157623</v>
      </c>
      <c r="CG691" s="59">
        <f t="shared" si="561"/>
        <v>0.1065440687406382</v>
      </c>
    </row>
    <row r="692" spans="2:85" x14ac:dyDescent="0.3">
      <c r="B692" s="158">
        <f t="shared" si="537"/>
        <v>44592</v>
      </c>
      <c r="C692" s="61"/>
      <c r="D692" s="17">
        <v>274266</v>
      </c>
      <c r="E692" s="16"/>
      <c r="F692" s="16"/>
      <c r="G692" s="16"/>
      <c r="H692" s="16">
        <f t="shared" ref="H692" si="842">+H691+D692</f>
        <v>67709568</v>
      </c>
      <c r="I692" s="16"/>
      <c r="J692" s="436">
        <f t="shared" ref="J692" si="843">+D692/H691</f>
        <v>4.0670982685003772E-3</v>
      </c>
      <c r="K692" s="16"/>
      <c r="L692" s="16"/>
      <c r="M692" s="16"/>
      <c r="N692" s="16">
        <f t="shared" ref="N692" si="844">SUM(D686:D692)</f>
        <v>2619953</v>
      </c>
      <c r="O692" s="16">
        <f t="shared" ref="O692" si="845">+H692/BW692</f>
        <v>99135.531478770135</v>
      </c>
      <c r="P692" s="41"/>
      <c r="Q692" s="17">
        <f t="shared" ref="Q692" si="846">SUM(D686:D692)</f>
        <v>2619953</v>
      </c>
      <c r="R692" s="16"/>
      <c r="S692" s="60">
        <f t="shared" ref="S692" si="847">+(Q692-Q685)/Q685</f>
        <v>-0.29678792729622994</v>
      </c>
      <c r="T692" s="16"/>
      <c r="U692" s="41"/>
      <c r="V692" s="10">
        <f t="shared" si="558"/>
        <v>584</v>
      </c>
      <c r="W692" s="34">
        <v>1153</v>
      </c>
      <c r="X692" s="33">
        <v>4256</v>
      </c>
      <c r="Y692" s="33"/>
      <c r="Z692" s="33">
        <f t="shared" ref="Z692" si="848">SUM(W687:W692)</f>
        <v>11443</v>
      </c>
      <c r="AA692" s="33">
        <f t="shared" ref="AA692" si="849">+AA691+W692</f>
        <v>816084</v>
      </c>
      <c r="AB692" s="33"/>
      <c r="AC692" s="46">
        <f t="shared" ref="AC692" si="850">+AA692/H692</f>
        <v>1.2052713140925667E-2</v>
      </c>
      <c r="AD692" s="33"/>
      <c r="AE692" s="33">
        <f t="shared" ref="AE692" si="851">+AA692/BW692</f>
        <v>1194.8521229868229</v>
      </c>
      <c r="AF692" s="50"/>
      <c r="AG692" s="33"/>
      <c r="AH692" s="33"/>
      <c r="AI692" s="213"/>
      <c r="AJ692" s="50"/>
      <c r="AL692" s="23">
        <f t="shared" ref="AL692" si="852">+AP692-AP691</f>
        <v>304237</v>
      </c>
      <c r="AM692" s="24"/>
      <c r="AN692" s="24"/>
      <c r="AO692" s="24">
        <v>178263</v>
      </c>
      <c r="AP692" s="24">
        <v>46242222</v>
      </c>
      <c r="AQ692" s="24">
        <v>20336656</v>
      </c>
      <c r="AR692" s="461">
        <f t="shared" ref="AR692" si="853">+AL692/AP691</f>
        <v>6.6227763364022172E-3</v>
      </c>
      <c r="AS692" s="25"/>
      <c r="AT692" s="25"/>
      <c r="AU692" s="24"/>
      <c r="AV692" s="298">
        <f t="shared" ref="AV692" si="854">+AP692/H692</f>
        <v>0.68294959436161218</v>
      </c>
      <c r="AW692" s="298"/>
      <c r="AX692" s="24">
        <f t="shared" ref="AX692" si="855">+AP692/BW692</f>
        <v>67704.571010248896</v>
      </c>
      <c r="AY692" s="308"/>
      <c r="BA692" s="65">
        <f t="shared" ref="BA692" si="856">+BC692-BC691</f>
        <v>2794223</v>
      </c>
      <c r="BB692" s="66"/>
      <c r="BC692" s="66">
        <v>902069547</v>
      </c>
      <c r="BD692" s="66"/>
      <c r="BE692" s="66">
        <f t="shared" ref="BE692" si="857">+D692</f>
        <v>274266</v>
      </c>
      <c r="BF692" s="66"/>
      <c r="BG692" s="144">
        <f t="shared" ref="BG692" si="858">+BE692/BA692</f>
        <v>9.8154656947566463E-2</v>
      </c>
      <c r="BH692" s="66"/>
      <c r="BI692" s="170"/>
      <c r="BJ692" s="66"/>
      <c r="BK692" s="66"/>
      <c r="BL692" s="66"/>
      <c r="BM692" s="144"/>
      <c r="BN692" s="65">
        <f t="shared" ref="BN692" si="859">+BC692/BW692</f>
        <v>1320746.0424597363</v>
      </c>
      <c r="BO692" s="66"/>
      <c r="BP692" s="66">
        <f t="shared" ref="BP692" si="860">+BP691+BE692</f>
        <v>66802590</v>
      </c>
      <c r="BQ692" s="66"/>
      <c r="BR692" s="435">
        <f t="shared" ref="BR692" si="861">+BP692/BC692</f>
        <v>7.4054811208475485E-2</v>
      </c>
      <c r="BS692" s="66"/>
      <c r="BT692" s="75"/>
      <c r="BU692" s="170"/>
      <c r="BV692" s="1"/>
      <c r="BW692" s="61">
        <f t="shared" si="399"/>
        <v>683</v>
      </c>
    </row>
    <row r="693" spans="2:85" x14ac:dyDescent="0.3">
      <c r="B693" s="158">
        <f t="shared" si="537"/>
        <v>44593</v>
      </c>
      <c r="C693" s="61"/>
      <c r="D693" s="17">
        <v>301964</v>
      </c>
      <c r="E693" s="16"/>
      <c r="F693" s="16"/>
      <c r="G693" s="16"/>
      <c r="H693" s="16">
        <f t="shared" ref="H693" si="862">+H692+D693</f>
        <v>68011532</v>
      </c>
      <c r="I693" s="16"/>
      <c r="J693" s="436">
        <f t="shared" ref="J693" si="863">+D693/H692</f>
        <v>4.4596946771245094E-3</v>
      </c>
      <c r="K693" s="16"/>
      <c r="L693" s="16"/>
      <c r="M693" s="16"/>
      <c r="N693" s="16">
        <f t="shared" ref="N693" si="864">SUM(D687:D693)</f>
        <v>2478845</v>
      </c>
      <c r="O693" s="16">
        <f t="shared" ref="O693" si="865">+H693/BW693</f>
        <v>99432.064327485379</v>
      </c>
      <c r="P693" s="41"/>
      <c r="Q693" s="17">
        <f t="shared" ref="Q693" si="866">SUM(D687:D693)</f>
        <v>2478845</v>
      </c>
      <c r="R693" s="16"/>
      <c r="S693" s="60">
        <f t="shared" ref="S693" si="867">+(Q693-Q686)/Q686</f>
        <v>-0.31558822506213657</v>
      </c>
      <c r="T693" s="16"/>
      <c r="U693" s="41"/>
      <c r="V693" s="10">
        <f t="shared" si="558"/>
        <v>585</v>
      </c>
      <c r="W693" s="34">
        <v>3149</v>
      </c>
      <c r="X693" s="33">
        <v>4256</v>
      </c>
      <c r="Y693" s="33"/>
      <c r="Z693" s="33">
        <f t="shared" ref="Z693" si="868">SUM(W688:W693)</f>
        <v>11449</v>
      </c>
      <c r="AA693" s="33">
        <f t="shared" ref="AA693" si="869">+AA692+W693</f>
        <v>819233</v>
      </c>
      <c r="AB693" s="33"/>
      <c r="AC693" s="46">
        <f t="shared" ref="AC693" si="870">+AA693/H693</f>
        <v>1.2045501342331179E-2</v>
      </c>
      <c r="AD693" s="33"/>
      <c r="AE693" s="33">
        <f t="shared" ref="AE693" si="871">+AA693/BW693</f>
        <v>1197.7090643274853</v>
      </c>
      <c r="AF693" s="50"/>
      <c r="AG693" s="33"/>
      <c r="AH693" s="33"/>
      <c r="AI693" s="213"/>
      <c r="AJ693" s="50"/>
      <c r="AL693" s="23">
        <f t="shared" ref="AL693" si="872">+AP693-AP692</f>
        <v>404807</v>
      </c>
      <c r="AM693" s="24"/>
      <c r="AN693" s="24"/>
      <c r="AO693" s="24">
        <v>178263</v>
      </c>
      <c r="AP693" s="24">
        <v>46647029</v>
      </c>
      <c r="AQ693" s="24">
        <v>20336656</v>
      </c>
      <c r="AR693" s="461">
        <f t="shared" ref="AR693" si="873">+AL693/AP692</f>
        <v>8.7540559794034127E-3</v>
      </c>
      <c r="AS693" s="25"/>
      <c r="AT693" s="25"/>
      <c r="AU693" s="24"/>
      <c r="AV693" s="298">
        <f t="shared" ref="AV693" si="874">+AP693/H693</f>
        <v>0.68586940520616413</v>
      </c>
      <c r="AW693" s="298"/>
      <c r="AX693" s="24">
        <f t="shared" ref="AX693" si="875">+AP693/BW693</f>
        <v>68197.410818713455</v>
      </c>
      <c r="AY693" s="308"/>
      <c r="BA693" s="65">
        <f t="shared" ref="BA693" si="876">+BC693-BC692</f>
        <v>4170296</v>
      </c>
      <c r="BB693" s="66"/>
      <c r="BC693" s="66">
        <v>906239843</v>
      </c>
      <c r="BD693" s="66"/>
      <c r="BE693" s="66">
        <f t="shared" ref="BE693" si="877">+D693</f>
        <v>301964</v>
      </c>
      <c r="BF693" s="66"/>
      <c r="BG693" s="144">
        <f t="shared" ref="BG693" si="878">+BE693/BA693</f>
        <v>7.2408289483528274E-2</v>
      </c>
      <c r="BH693" s="66"/>
      <c r="BI693" s="170"/>
      <c r="BJ693" s="66"/>
      <c r="BK693" s="66"/>
      <c r="BL693" s="66"/>
      <c r="BM693" s="144"/>
      <c r="BN693" s="65">
        <f t="shared" ref="BN693" si="879">+BC693/BW693</f>
        <v>1324912.0511695906</v>
      </c>
      <c r="BO693" s="66"/>
      <c r="BP693" s="66">
        <f t="shared" ref="BP693" si="880">+BP692+BE693</f>
        <v>67104554</v>
      </c>
      <c r="BQ693" s="66"/>
      <c r="BR693" s="435">
        <f t="shared" ref="BR693" si="881">+BP693/BC693</f>
        <v>7.4047234314768479E-2</v>
      </c>
      <c r="BS693" s="66"/>
      <c r="BT693" s="75"/>
      <c r="BU693" s="170"/>
      <c r="BV693" s="1"/>
      <c r="BW693" s="61">
        <f t="shared" si="399"/>
        <v>684</v>
      </c>
      <c r="CA693" s="56">
        <f>SUM(CA662:CA692)</f>
        <v>86531088</v>
      </c>
      <c r="CC693" s="56">
        <f>SUM(CC662:CC692)</f>
        <v>15991947</v>
      </c>
      <c r="CG693" s="59">
        <f t="shared" si="561"/>
        <v>0.18481157893218678</v>
      </c>
    </row>
    <row r="694" spans="2:85" x14ac:dyDescent="0.3">
      <c r="B694" s="158">
        <f t="shared" si="537"/>
        <v>44594</v>
      </c>
      <c r="C694" s="61"/>
      <c r="D694" s="17">
        <v>302177</v>
      </c>
      <c r="E694" s="16"/>
      <c r="F694" s="16"/>
      <c r="G694" s="16"/>
      <c r="H694" s="16">
        <f t="shared" ref="H694" si="882">+H693+D694</f>
        <v>68313709</v>
      </c>
      <c r="I694" s="16"/>
      <c r="J694" s="436">
        <f t="shared" ref="J694" si="883">+D694/H693</f>
        <v>4.443025926838407E-3</v>
      </c>
      <c r="K694" s="16"/>
      <c r="L694" s="16"/>
      <c r="M694" s="16"/>
      <c r="N694" s="16">
        <f t="shared" ref="N694" si="884">SUM(D688:D694)</f>
        <v>2247709</v>
      </c>
      <c r="O694" s="16">
        <f t="shared" ref="O694" si="885">+H694/BW694</f>
        <v>99728.042335766426</v>
      </c>
      <c r="P694" s="41"/>
      <c r="Q694" s="17">
        <f t="shared" ref="Q694" si="886">SUM(D688:D694)</f>
        <v>2247709</v>
      </c>
      <c r="R694" s="16"/>
      <c r="S694" s="60">
        <f t="shared" ref="S694" si="887">+(Q694-Q687)/Q687</f>
        <v>-0.34740191397423009</v>
      </c>
      <c r="T694" s="16"/>
      <c r="U694" s="41"/>
      <c r="V694" s="10">
        <f t="shared" si="558"/>
        <v>586</v>
      </c>
      <c r="W694" s="34">
        <v>2990</v>
      </c>
      <c r="X694" s="33">
        <v>4256</v>
      </c>
      <c r="Y694" s="33"/>
      <c r="Z694" s="33">
        <f t="shared" ref="Z694" si="888">SUM(W689:W694)</f>
        <v>11750</v>
      </c>
      <c r="AA694" s="33">
        <f t="shared" ref="AA694" si="889">+AA693+W694</f>
        <v>822223</v>
      </c>
      <c r="AB694" s="33"/>
      <c r="AC694" s="46">
        <f t="shared" ref="AC694" si="890">+AA694/H694</f>
        <v>1.2035988267010946E-2</v>
      </c>
      <c r="AD694" s="33"/>
      <c r="AE694" s="33">
        <f t="shared" ref="AE694" si="891">+AA694/BW694</f>
        <v>1200.3255474452556</v>
      </c>
      <c r="AF694" s="50"/>
      <c r="AG694" s="33"/>
      <c r="AH694" s="33"/>
      <c r="AI694" s="213"/>
      <c r="AJ694" s="50"/>
      <c r="AL694" s="23">
        <f t="shared" ref="AL694" si="892">+AP694-AP693</f>
        <v>465591</v>
      </c>
      <c r="AM694" s="24"/>
      <c r="AN694" s="24"/>
      <c r="AO694" s="24">
        <v>178263</v>
      </c>
      <c r="AP694" s="24">
        <v>47112620</v>
      </c>
      <c r="AQ694" s="24">
        <v>20336656</v>
      </c>
      <c r="AR694" s="461">
        <f t="shared" ref="AR694" si="893">+AL694/AP693</f>
        <v>9.9811501392725356E-3</v>
      </c>
      <c r="AS694" s="25"/>
      <c r="AT694" s="25"/>
      <c r="AU694" s="24"/>
      <c r="AV694" s="298">
        <f t="shared" ref="AV694" si="894">+AP694/H694</f>
        <v>0.68965103329406396</v>
      </c>
      <c r="AW694" s="298"/>
      <c r="AX694" s="24">
        <f t="shared" ref="AX694" si="895">+AP694/BW694</f>
        <v>68777.547445255477</v>
      </c>
      <c r="AY694" s="308"/>
      <c r="BA694" s="65">
        <f t="shared" ref="BA694" si="896">+BC694-BC693</f>
        <v>2164784</v>
      </c>
      <c r="BB694" s="66"/>
      <c r="BC694" s="66">
        <v>908404627</v>
      </c>
      <c r="BD694" s="66"/>
      <c r="BE694" s="66">
        <f t="shared" ref="BE694" si="897">+D694</f>
        <v>302177</v>
      </c>
      <c r="BF694" s="66"/>
      <c r="BG694" s="144">
        <f t="shared" ref="BG694" si="898">+BE694/BA694</f>
        <v>0.13958759857796435</v>
      </c>
      <c r="BH694" s="66"/>
      <c r="BI694" s="170"/>
      <c r="BJ694" s="66"/>
      <c r="BK694" s="66"/>
      <c r="BL694" s="66"/>
      <c r="BM694" s="144"/>
      <c r="BN694" s="65">
        <f t="shared" ref="BN694" si="899">+BC694/BW694</f>
        <v>1326138.1416058394</v>
      </c>
      <c r="BO694" s="66"/>
      <c r="BP694" s="66">
        <f t="shared" ref="BP694" si="900">+BP693+BE694</f>
        <v>67406731</v>
      </c>
      <c r="BQ694" s="66"/>
      <c r="BR694" s="435">
        <f t="shared" ref="BR694" si="901">+BP694/BC694</f>
        <v>7.4203421026828392E-2</v>
      </c>
      <c r="BS694" s="66"/>
      <c r="BT694" s="75"/>
      <c r="BU694" s="170"/>
      <c r="BV694" s="1"/>
      <c r="BW694" s="61">
        <f t="shared" si="399"/>
        <v>685</v>
      </c>
      <c r="CA694" s="56"/>
      <c r="CC694" s="56"/>
      <c r="CG694" s="59"/>
    </row>
    <row r="695" spans="2:85" x14ac:dyDescent="0.3">
      <c r="B695" s="158">
        <f t="shared" si="537"/>
        <v>44595</v>
      </c>
      <c r="C695" s="61"/>
      <c r="D695" s="17">
        <v>255994</v>
      </c>
      <c r="E695" s="16"/>
      <c r="F695" s="16"/>
      <c r="G695" s="16"/>
      <c r="H695" s="16">
        <f t="shared" ref="H695" si="902">+H694+D695</f>
        <v>68569703</v>
      </c>
      <c r="I695" s="16"/>
      <c r="J695" s="436">
        <f t="shared" ref="J695" si="903">+D695/H694</f>
        <v>3.7473298368267487E-3</v>
      </c>
      <c r="K695" s="16"/>
      <c r="L695" s="16"/>
      <c r="M695" s="16"/>
      <c r="N695" s="16">
        <f t="shared" ref="N695" si="904">SUM(D689:D695)</f>
        <v>2006352</v>
      </c>
      <c r="O695" s="16">
        <f t="shared" ref="O695" si="905">+H695/BW695</f>
        <v>99955.835276967933</v>
      </c>
      <c r="P695" s="41"/>
      <c r="Q695" s="17">
        <f t="shared" ref="Q695" si="906">SUM(D689:D695)</f>
        <v>2006352</v>
      </c>
      <c r="R695" s="16"/>
      <c r="S695" s="60">
        <f t="shared" ref="S695" si="907">+(Q695-Q688)/Q688</f>
        <v>-0.38252374835271097</v>
      </c>
      <c r="T695" s="16"/>
      <c r="U695" s="41"/>
      <c r="V695" s="10">
        <f t="shared" si="558"/>
        <v>587</v>
      </c>
      <c r="W695" s="34">
        <v>2376</v>
      </c>
      <c r="X695" s="33">
        <v>4256</v>
      </c>
      <c r="Y695" s="33"/>
      <c r="Z695" s="33">
        <f t="shared" ref="Z695" si="908">SUM(W690:W695)</f>
        <v>11394</v>
      </c>
      <c r="AA695" s="33">
        <f t="shared" ref="AA695" si="909">+AA694+W695</f>
        <v>824599</v>
      </c>
      <c r="AB695" s="33"/>
      <c r="AC695" s="46">
        <f t="shared" ref="AC695" si="910">+AA695/H695</f>
        <v>1.2025704705181529E-2</v>
      </c>
      <c r="AD695" s="33"/>
      <c r="AE695" s="33">
        <f t="shared" ref="AE695" si="911">+AA695/BW695</f>
        <v>1202.039358600583</v>
      </c>
      <c r="AF695" s="50"/>
      <c r="AG695" s="33"/>
      <c r="AH695" s="33"/>
      <c r="AI695" s="213"/>
      <c r="AJ695" s="50"/>
      <c r="AL695" s="23">
        <f t="shared" ref="AL695" si="912">+AP695-AP694</f>
        <v>201116</v>
      </c>
      <c r="AM695" s="24"/>
      <c r="AN695" s="24"/>
      <c r="AO695" s="24">
        <v>178263</v>
      </c>
      <c r="AP695" s="24">
        <v>47313736</v>
      </c>
      <c r="AQ695" s="24">
        <v>20336656</v>
      </c>
      <c r="AR695" s="461">
        <f t="shared" ref="AR695" si="913">+AL695/AP694</f>
        <v>4.2688349745779366E-3</v>
      </c>
      <c r="AS695" s="25"/>
      <c r="AT695" s="25"/>
      <c r="AU695" s="24"/>
      <c r="AV695" s="298">
        <f t="shared" ref="AV695" si="914">+AP695/H695</f>
        <v>0.69000934713105</v>
      </c>
      <c r="AW695" s="298"/>
      <c r="AX695" s="24">
        <f t="shared" ref="AX695" si="915">+AP695/BW695</f>
        <v>68970.460641399419</v>
      </c>
      <c r="AY695" s="308"/>
      <c r="BA695" s="65">
        <f t="shared" ref="BA695" si="916">+BC695-BC694</f>
        <v>1750926</v>
      </c>
      <c r="BB695" s="66"/>
      <c r="BC695" s="66">
        <v>910155553</v>
      </c>
      <c r="BD695" s="66"/>
      <c r="BE695" s="66">
        <f t="shared" ref="BE695" si="917">+D695</f>
        <v>255994</v>
      </c>
      <c r="BF695" s="66"/>
      <c r="BG695" s="144">
        <f t="shared" ref="BG695" si="918">+BE695/BA695</f>
        <v>0.14620492242390598</v>
      </c>
      <c r="BH695" s="66"/>
      <c r="BI695" s="170"/>
      <c r="BJ695" s="66"/>
      <c r="BK695" s="66"/>
      <c r="BL695" s="66"/>
      <c r="BM695" s="144"/>
      <c r="BN695" s="65">
        <f t="shared" ref="BN695" si="919">+BC695/BW695</f>
        <v>1326757.3658892128</v>
      </c>
      <c r="BO695" s="66"/>
      <c r="BP695" s="66">
        <f t="shared" ref="BP695" si="920">+BP694+BE695</f>
        <v>67662725</v>
      </c>
      <c r="BQ695" s="66"/>
      <c r="BR695" s="435">
        <f t="shared" ref="BR695" si="921">+BP695/BC695</f>
        <v>7.4341935042833276E-2</v>
      </c>
      <c r="BS695" s="66"/>
      <c r="BT695" s="75"/>
      <c r="BU695" s="170"/>
      <c r="BV695" s="1"/>
      <c r="BW695" s="61">
        <f t="shared" si="399"/>
        <v>686</v>
      </c>
      <c r="CA695" s="56"/>
      <c r="CC695" s="56"/>
      <c r="CG695" s="59"/>
    </row>
    <row r="696" spans="2:85" x14ac:dyDescent="0.3">
      <c r="B696" s="158">
        <f t="shared" si="537"/>
        <v>44596</v>
      </c>
      <c r="C696" s="61"/>
      <c r="D696" s="17">
        <v>303273</v>
      </c>
      <c r="E696" s="16"/>
      <c r="F696" s="16"/>
      <c r="G696" s="16"/>
      <c r="H696" s="16">
        <f t="shared" ref="H696" si="922">+H695+D696</f>
        <v>68872976</v>
      </c>
      <c r="I696" s="16"/>
      <c r="J696" s="436">
        <f t="shared" ref="J696" si="923">+D696/H695</f>
        <v>4.4228425489898941E-3</v>
      </c>
      <c r="K696" s="16"/>
      <c r="L696" s="16"/>
      <c r="M696" s="16"/>
      <c r="N696" s="16">
        <f t="shared" ref="N696" si="924">SUM(D690:D696)</f>
        <v>1787325</v>
      </c>
      <c r="O696" s="16">
        <f t="shared" ref="O696" si="925">+H696/BW696</f>
        <v>100251.78457059679</v>
      </c>
      <c r="P696" s="41"/>
      <c r="Q696" s="17">
        <f t="shared" ref="Q696" si="926">SUM(D690:D696)</f>
        <v>1787325</v>
      </c>
      <c r="R696" s="16"/>
      <c r="S696" s="60">
        <f t="shared" ref="S696" si="927">+(Q696-Q689)/Q689</f>
        <v>-0.39838492189850944</v>
      </c>
      <c r="T696" s="16"/>
      <c r="U696" s="41"/>
      <c r="V696" s="10">
        <f t="shared" si="558"/>
        <v>588</v>
      </c>
      <c r="W696" s="34">
        <v>2693</v>
      </c>
      <c r="X696" s="33">
        <v>4256</v>
      </c>
      <c r="Y696" s="33"/>
      <c r="Z696" s="33">
        <f t="shared" ref="Z696" si="928">SUM(W691:W696)</f>
        <v>12960</v>
      </c>
      <c r="AA696" s="33">
        <f t="shared" ref="AA696" si="929">+AA695+W696</f>
        <v>827292</v>
      </c>
      <c r="AB696" s="33"/>
      <c r="AC696" s="46">
        <f t="shared" ref="AC696" si="930">+AA696/H696</f>
        <v>1.2011852079689427E-2</v>
      </c>
      <c r="AD696" s="33"/>
      <c r="AE696" s="33">
        <f t="shared" ref="AE696" si="931">+AA696/BW696</f>
        <v>1204.2096069868996</v>
      </c>
      <c r="AF696" s="50"/>
      <c r="AG696" s="33"/>
      <c r="AH696" s="33"/>
      <c r="AI696" s="213"/>
      <c r="AJ696" s="50"/>
      <c r="AL696" s="23">
        <f t="shared" ref="AL696" si="932">+AP696-AP695</f>
        <v>472418</v>
      </c>
      <c r="AM696" s="24"/>
      <c r="AN696" s="24"/>
      <c r="AO696" s="24">
        <v>178263</v>
      </c>
      <c r="AP696" s="24">
        <v>47786154</v>
      </c>
      <c r="AQ696" s="24">
        <v>20336656</v>
      </c>
      <c r="AR696" s="461">
        <f t="shared" ref="AR696" si="933">+AL696/AP695</f>
        <v>9.9847959586197126E-3</v>
      </c>
      <c r="AS696" s="25"/>
      <c r="AT696" s="25"/>
      <c r="AU696" s="24"/>
      <c r="AV696" s="298">
        <f t="shared" ref="AV696" si="934">+AP696/H696</f>
        <v>0.69383024773025637</v>
      </c>
      <c r="AW696" s="298"/>
      <c r="AX696" s="24">
        <f t="shared" ref="AX696" si="935">+AP696/BW696</f>
        <v>69557.720524017466</v>
      </c>
      <c r="AY696" s="308"/>
      <c r="BA696" s="65">
        <f t="shared" ref="BA696" si="936">+BC696-BC695</f>
        <v>3117403</v>
      </c>
      <c r="BB696" s="66"/>
      <c r="BC696" s="66">
        <v>913272956</v>
      </c>
      <c r="BD696" s="66"/>
      <c r="BE696" s="66">
        <f t="shared" ref="BE696" si="937">+D696</f>
        <v>303273</v>
      </c>
      <c r="BF696" s="66"/>
      <c r="BG696" s="144">
        <f t="shared" ref="BG696" si="938">+BE696/BA696</f>
        <v>9.7283860957341733E-2</v>
      </c>
      <c r="BH696" s="66"/>
      <c r="BI696" s="170"/>
      <c r="BJ696" s="66"/>
      <c r="BK696" s="66"/>
      <c r="BL696" s="66"/>
      <c r="BM696" s="144"/>
      <c r="BN696" s="65">
        <f t="shared" ref="BN696" si="939">+BC696/BW696</f>
        <v>1329363.8369723435</v>
      </c>
      <c r="BO696" s="66"/>
      <c r="BP696" s="66">
        <f t="shared" ref="BP696" si="940">+BP695+BE696</f>
        <v>67965998</v>
      </c>
      <c r="BQ696" s="66"/>
      <c r="BR696" s="435">
        <f t="shared" ref="BR696" si="941">+BP696/BC696</f>
        <v>7.4420245944521318E-2</v>
      </c>
      <c r="BS696" s="66"/>
      <c r="BT696" s="75"/>
      <c r="BU696" s="170"/>
      <c r="BV696" s="1"/>
      <c r="BW696" s="61">
        <f t="shared" si="399"/>
        <v>687</v>
      </c>
      <c r="CA696" s="56"/>
      <c r="CC696" s="56"/>
      <c r="CG696" s="59"/>
    </row>
    <row r="697" spans="2:85" x14ac:dyDescent="0.3">
      <c r="B697" s="158">
        <f t="shared" si="537"/>
        <v>44597</v>
      </c>
      <c r="C697" s="61"/>
      <c r="D697" s="17">
        <v>105022</v>
      </c>
      <c r="E697" s="16"/>
      <c r="F697" s="16"/>
      <c r="G697" s="16"/>
      <c r="H697" s="16">
        <f t="shared" ref="H697" si="942">+H696+D697</f>
        <v>68977998</v>
      </c>
      <c r="I697" s="16"/>
      <c r="J697" s="436">
        <f t="shared" ref="J697" si="943">+D697/H696</f>
        <v>1.5248651372346681E-3</v>
      </c>
      <c r="K697" s="16"/>
      <c r="L697" s="16"/>
      <c r="M697" s="16"/>
      <c r="N697" s="16">
        <f t="shared" ref="N697" si="944">SUM(D691:D697)</f>
        <v>1700319</v>
      </c>
      <c r="O697" s="16">
        <f t="shared" ref="O697" si="945">+H697/BW697</f>
        <v>100258.71802325582</v>
      </c>
      <c r="P697" s="41"/>
      <c r="Q697" s="17">
        <f t="shared" ref="Q697" si="946">SUM(D691:D697)</f>
        <v>1700319</v>
      </c>
      <c r="R697" s="16"/>
      <c r="S697" s="60">
        <f t="shared" ref="S697" si="947">+(Q697-Q690)/Q690</f>
        <v>-0.40352074235807861</v>
      </c>
      <c r="T697" s="16"/>
      <c r="U697" s="41"/>
      <c r="V697" s="10">
        <f t="shared" si="558"/>
        <v>589</v>
      </c>
      <c r="W697" s="34">
        <v>1051</v>
      </c>
      <c r="X697" s="33">
        <v>4256</v>
      </c>
      <c r="Y697" s="33"/>
      <c r="Z697" s="33">
        <f t="shared" ref="Z697" si="948">SUM(W692:W697)</f>
        <v>13412</v>
      </c>
      <c r="AA697" s="33">
        <f t="shared" ref="AA697" si="949">+AA696+W697</f>
        <v>828343</v>
      </c>
      <c r="AB697" s="33"/>
      <c r="AC697" s="46">
        <f t="shared" ref="AC697" si="950">+AA697/H697</f>
        <v>1.2008800255408979E-2</v>
      </c>
      <c r="AD697" s="33"/>
      <c r="AE697" s="33">
        <f t="shared" ref="AE697" si="951">+AA697/BW697</f>
        <v>1203.9869186046512</v>
      </c>
      <c r="AF697" s="50"/>
      <c r="AG697" s="33"/>
      <c r="AH697" s="33"/>
      <c r="AI697" s="213"/>
      <c r="AJ697" s="50"/>
      <c r="AL697" s="23">
        <f t="shared" ref="AL697" si="952">+AP697-AP696</f>
        <v>114098</v>
      </c>
      <c r="AM697" s="24"/>
      <c r="AN697" s="24"/>
      <c r="AO697" s="24">
        <v>178263</v>
      </c>
      <c r="AP697" s="24">
        <v>47900252</v>
      </c>
      <c r="AQ697" s="24">
        <v>20336656</v>
      </c>
      <c r="AR697" s="461">
        <f t="shared" ref="AR697" si="953">+AL697/AP696</f>
        <v>2.3876790754074916E-3</v>
      </c>
      <c r="AS697" s="25"/>
      <c r="AT697" s="25"/>
      <c r="AU697" s="24"/>
      <c r="AV697" s="298">
        <f t="shared" ref="AV697" si="954">+AP697/H697</f>
        <v>0.69442798267354755</v>
      </c>
      <c r="AW697" s="298"/>
      <c r="AX697" s="24">
        <f t="shared" ref="AX697" si="955">+AP697/BW697</f>
        <v>69622.459302325587</v>
      </c>
      <c r="AY697" s="308"/>
      <c r="BA697" s="65">
        <f t="shared" ref="BA697" si="956">+BC697-BC696</f>
        <v>605965</v>
      </c>
      <c r="BB697" s="66"/>
      <c r="BC697" s="66">
        <v>913878921</v>
      </c>
      <c r="BD697" s="66"/>
      <c r="BE697" s="66">
        <f t="shared" ref="BE697" si="957">+D697</f>
        <v>105022</v>
      </c>
      <c r="BF697" s="66"/>
      <c r="BG697" s="144">
        <f t="shared" ref="BG697" si="958">+BE697/BA697</f>
        <v>0.17331364022674578</v>
      </c>
      <c r="BH697" s="66"/>
      <c r="BI697" s="170"/>
      <c r="BJ697" s="66"/>
      <c r="BK697" s="66"/>
      <c r="BL697" s="66"/>
      <c r="BM697" s="144"/>
      <c r="BN697" s="65">
        <f t="shared" ref="BN697" si="959">+BC697/BW697</f>
        <v>1328312.3851744186</v>
      </c>
      <c r="BO697" s="66"/>
      <c r="BP697" s="66">
        <f t="shared" ref="BP697" si="960">+BP696+BE697</f>
        <v>68071020</v>
      </c>
      <c r="BQ697" s="66"/>
      <c r="BR697" s="435">
        <f t="shared" ref="BR697" si="961">+BP697/BC697</f>
        <v>7.4485819112135976E-2</v>
      </c>
      <c r="BS697" s="66"/>
      <c r="BT697" s="75"/>
      <c r="BU697" s="170"/>
      <c r="BV697" s="1"/>
      <c r="BW697" s="61">
        <f t="shared" si="399"/>
        <v>688</v>
      </c>
      <c r="CA697" s="56"/>
      <c r="CC697" s="56"/>
      <c r="CG697" s="59"/>
    </row>
    <row r="698" spans="2:85" x14ac:dyDescent="0.3">
      <c r="B698" s="347">
        <f t="shared" si="537"/>
        <v>44598</v>
      </c>
      <c r="C698" s="61"/>
      <c r="D698" s="17">
        <v>50711</v>
      </c>
      <c r="E698" s="16"/>
      <c r="F698" s="16"/>
      <c r="G698" s="16"/>
      <c r="H698" s="16">
        <f t="shared" ref="H698" si="962">+H697+D698</f>
        <v>69028709</v>
      </c>
      <c r="I698" s="16"/>
      <c r="J698" s="436">
        <f t="shared" ref="J698" si="963">+D698/H697</f>
        <v>7.3517645438187407E-4</v>
      </c>
      <c r="K698" s="16"/>
      <c r="L698" s="16"/>
      <c r="M698" s="16"/>
      <c r="N698" s="16">
        <f t="shared" ref="N698" si="964">SUM(D692:D698)</f>
        <v>1593407</v>
      </c>
      <c r="O698" s="16">
        <f t="shared" ref="O698" si="965">+H698/BW698</f>
        <v>100186.80551523948</v>
      </c>
      <c r="P698" s="41"/>
      <c r="Q698" s="17">
        <f t="shared" ref="Q698" si="966">SUM(D692:D698)</f>
        <v>1593407</v>
      </c>
      <c r="R698" s="16"/>
      <c r="S698" s="60">
        <f t="shared" ref="S698" si="967">+(Q698-Q691)/Q691</f>
        <v>-0.43312090580719437</v>
      </c>
      <c r="T698" s="16"/>
      <c r="U698" s="41"/>
      <c r="V698" s="10">
        <f t="shared" si="558"/>
        <v>590</v>
      </c>
      <c r="W698" s="34">
        <v>374</v>
      </c>
      <c r="X698" s="33">
        <v>4256</v>
      </c>
      <c r="Y698" s="33"/>
      <c r="Z698" s="33">
        <f t="shared" ref="Z698" si="968">SUM(W693:W698)</f>
        <v>12633</v>
      </c>
      <c r="AA698" s="33">
        <f t="shared" ref="AA698" si="969">+AA697+W698</f>
        <v>828717</v>
      </c>
      <c r="AB698" s="33"/>
      <c r="AC698" s="46">
        <f t="shared" ref="AC698" si="970">+AA698/H698</f>
        <v>1.2005396189576717E-2</v>
      </c>
      <c r="AD698" s="33"/>
      <c r="AE698" s="33">
        <f t="shared" ref="AE698" si="971">+AA698/BW698</f>
        <v>1202.7822931785197</v>
      </c>
      <c r="AF698" s="50"/>
      <c r="AG698" s="33"/>
      <c r="AH698" s="33"/>
      <c r="AI698" s="213"/>
      <c r="AJ698" s="50"/>
      <c r="AL698" s="23">
        <f t="shared" ref="AL698" si="972">+AP698-AP697</f>
        <v>98118</v>
      </c>
      <c r="AM698" s="24"/>
      <c r="AN698" s="24"/>
      <c r="AO698" s="24">
        <v>178263</v>
      </c>
      <c r="AP698" s="24">
        <v>47998370</v>
      </c>
      <c r="AQ698" s="24">
        <v>20336656</v>
      </c>
      <c r="AR698" s="461">
        <f t="shared" ref="AR698" si="973">+AL698/AP697</f>
        <v>2.0483817078874658E-3</v>
      </c>
      <c r="AS698" s="25"/>
      <c r="AT698" s="25"/>
      <c r="AU698" s="24"/>
      <c r="AV698" s="298">
        <f t="shared" ref="AV698" si="974">+AP698/H698</f>
        <v>0.69533923921422314</v>
      </c>
      <c r="AW698" s="298"/>
      <c r="AX698" s="24">
        <f t="shared" ref="AX698" si="975">+AP698/BW698</f>
        <v>69663.817126269962</v>
      </c>
      <c r="AY698" s="308"/>
      <c r="BA698" s="65">
        <f t="shared" ref="BA698" si="976">+BC698-BC697</f>
        <v>518719</v>
      </c>
      <c r="BB698" s="66"/>
      <c r="BC698" s="66">
        <v>914397640</v>
      </c>
      <c r="BD698" s="66"/>
      <c r="BE698" s="66">
        <f t="shared" ref="BE698" si="977">+D698</f>
        <v>50711</v>
      </c>
      <c r="BF698" s="66"/>
      <c r="BG698" s="144">
        <f t="shared" ref="BG698" si="978">+BE698/BA698</f>
        <v>9.7761986740412435E-2</v>
      </c>
      <c r="BH698" s="66"/>
      <c r="BI698" s="170"/>
      <c r="BJ698" s="66"/>
      <c r="BK698" s="66"/>
      <c r="BL698" s="66"/>
      <c r="BM698" s="144"/>
      <c r="BN698" s="65">
        <f t="shared" ref="BN698" si="979">+BC698/BW698</f>
        <v>1327137.358490566</v>
      </c>
      <c r="BO698" s="66"/>
      <c r="BP698" s="66">
        <f t="shared" ref="BP698" si="980">+BP697+BE698</f>
        <v>68121731</v>
      </c>
      <c r="BQ698" s="66"/>
      <c r="BR698" s="435">
        <f t="shared" ref="BR698" si="981">+BP698/BC698</f>
        <v>7.4499023203953157E-2</v>
      </c>
      <c r="BS698" s="66"/>
      <c r="BT698" s="75"/>
      <c r="BU698" s="170"/>
      <c r="BV698" s="1"/>
      <c r="BW698" s="61">
        <f t="shared" si="399"/>
        <v>689</v>
      </c>
    </row>
    <row r="699" spans="2:85" x14ac:dyDescent="0.3">
      <c r="B699" s="158">
        <f t="shared" si="537"/>
        <v>44599</v>
      </c>
      <c r="C699" s="61"/>
      <c r="D699" s="17">
        <v>153801</v>
      </c>
      <c r="E699" s="16"/>
      <c r="F699" s="16"/>
      <c r="G699" s="16"/>
      <c r="H699" s="16">
        <f t="shared" ref="H699" si="982">+H698+D699</f>
        <v>69182510</v>
      </c>
      <c r="I699" s="16"/>
      <c r="J699" s="436">
        <f t="shared" ref="J699" si="983">+D699/H698</f>
        <v>2.228072960193997E-3</v>
      </c>
      <c r="K699" s="16"/>
      <c r="L699" s="16"/>
      <c r="M699" s="16"/>
      <c r="N699" s="16">
        <f t="shared" ref="N699" si="984">SUM(D693:D699)</f>
        <v>1472942</v>
      </c>
      <c r="O699" s="16">
        <f t="shared" ref="O699" si="985">+H699/BW699</f>
        <v>100264.50724637682</v>
      </c>
      <c r="P699" s="41"/>
      <c r="Q699" s="17">
        <f t="shared" ref="Q699" si="986">SUM(D693:D699)</f>
        <v>1472942</v>
      </c>
      <c r="R699" s="16"/>
      <c r="S699" s="60">
        <f t="shared" ref="S699" si="987">+(Q699-Q692)/Q692</f>
        <v>-0.4377983116491021</v>
      </c>
      <c r="T699" s="16"/>
      <c r="U699" s="41"/>
      <c r="V699" s="10">
        <f t="shared" si="558"/>
        <v>591</v>
      </c>
      <c r="W699" s="34">
        <v>1380</v>
      </c>
      <c r="X699" s="33">
        <v>4256</v>
      </c>
      <c r="Y699" s="33"/>
      <c r="Z699" s="33">
        <f t="shared" ref="Z699" si="988">SUM(W694:W699)</f>
        <v>10864</v>
      </c>
      <c r="AA699" s="33">
        <f t="shared" ref="AA699" si="989">+AA698+W699</f>
        <v>830097</v>
      </c>
      <c r="AB699" s="33"/>
      <c r="AC699" s="46">
        <f t="shared" ref="AC699" si="990">+AA699/H699</f>
        <v>1.1998653995063203E-2</v>
      </c>
      <c r="AD699" s="33"/>
      <c r="AE699" s="33">
        <f t="shared" ref="AE699" si="991">+AA699/BW699</f>
        <v>1203.0391304347827</v>
      </c>
      <c r="AF699" s="50"/>
      <c r="AG699" s="33"/>
      <c r="AH699" s="33"/>
      <c r="AI699" s="213"/>
      <c r="AJ699" s="50"/>
      <c r="AL699" s="23">
        <f t="shared" ref="AL699" si="992">+AP699-AP698</f>
        <v>347945</v>
      </c>
      <c r="AM699" s="24"/>
      <c r="AN699" s="24"/>
      <c r="AO699" s="24">
        <v>178263</v>
      </c>
      <c r="AP699" s="24">
        <v>48346315</v>
      </c>
      <c r="AQ699" s="24">
        <v>20336656</v>
      </c>
      <c r="AR699" s="461">
        <f t="shared" ref="AR699" si="993">+AL699/AP698</f>
        <v>7.2491003340321766E-3</v>
      </c>
      <c r="AS699" s="25"/>
      <c r="AT699" s="25"/>
      <c r="AU699" s="24"/>
      <c r="AV699" s="298">
        <f t="shared" ref="AV699" si="994">+AP699/H699</f>
        <v>0.69882279495207678</v>
      </c>
      <c r="AW699" s="298"/>
      <c r="AX699" s="24">
        <f t="shared" ref="AX699" si="995">+AP699/BW699</f>
        <v>70067.123188405792</v>
      </c>
      <c r="AY699" s="308"/>
      <c r="BA699" s="65">
        <f t="shared" ref="BA699" si="996">+BC699-BC698</f>
        <v>3894838</v>
      </c>
      <c r="BB699" s="66"/>
      <c r="BC699" s="66">
        <v>918292478</v>
      </c>
      <c r="BD699" s="66"/>
      <c r="BE699" s="66">
        <f t="shared" ref="BE699" si="997">+D699</f>
        <v>153801</v>
      </c>
      <c r="BF699" s="66"/>
      <c r="BG699" s="144">
        <f t="shared" ref="BG699" si="998">+BE699/BA699</f>
        <v>3.9488420314272375E-2</v>
      </c>
      <c r="BH699" s="66"/>
      <c r="BI699" s="170"/>
      <c r="BJ699" s="66"/>
      <c r="BK699" s="66"/>
      <c r="BL699" s="66"/>
      <c r="BM699" s="144"/>
      <c r="BN699" s="65">
        <f t="shared" ref="BN699" si="999">+BC699/BW699</f>
        <v>1330858.6637681159</v>
      </c>
      <c r="BO699" s="66"/>
      <c r="BP699" s="66">
        <f t="shared" ref="BP699" si="1000">+BP698+BE699</f>
        <v>68275532</v>
      </c>
      <c r="BQ699" s="66"/>
      <c r="BR699" s="435">
        <f t="shared" ref="BR699" si="1001">+BP699/BC699</f>
        <v>7.4350529527042478E-2</v>
      </c>
      <c r="BS699" s="66"/>
      <c r="BT699" s="75"/>
      <c r="BU699" s="170"/>
      <c r="BV699" s="1"/>
      <c r="BW699" s="61">
        <f t="shared" si="399"/>
        <v>690</v>
      </c>
    </row>
    <row r="700" spans="2:85" x14ac:dyDescent="0.3">
      <c r="B700" s="158">
        <f t="shared" ref="B700:B701" si="1002">1+B699</f>
        <v>44600</v>
      </c>
      <c r="C700" s="61"/>
      <c r="D700" s="17">
        <v>179169</v>
      </c>
      <c r="E700" s="16"/>
      <c r="F700" s="16"/>
      <c r="G700" s="16"/>
      <c r="H700" s="16">
        <f t="shared" ref="H700" si="1003">+H699+D700</f>
        <v>69361679</v>
      </c>
      <c r="I700" s="16"/>
      <c r="J700" s="436">
        <f t="shared" ref="J700" si="1004">+D700/H699</f>
        <v>2.5898019600618712E-3</v>
      </c>
      <c r="K700" s="16"/>
      <c r="L700" s="16"/>
      <c r="M700" s="16"/>
      <c r="N700" s="16">
        <f t="shared" ref="N700" si="1005">SUM(D694:D700)</f>
        <v>1350147</v>
      </c>
      <c r="O700" s="16">
        <f t="shared" ref="O700" si="1006">+H700/BW700</f>
        <v>100378.69609261939</v>
      </c>
      <c r="P700" s="41"/>
      <c r="Q700" s="17">
        <f t="shared" ref="Q700" si="1007">SUM(D694:D700)</f>
        <v>1350147</v>
      </c>
      <c r="R700" s="16"/>
      <c r="S700" s="60">
        <f t="shared" ref="S700" si="1008">+(Q700-Q693)/Q693</f>
        <v>-0.45533222125627054</v>
      </c>
      <c r="T700" s="16"/>
      <c r="U700" s="41"/>
      <c r="V700" s="10">
        <f t="shared" si="558"/>
        <v>592</v>
      </c>
      <c r="W700" s="34">
        <v>2777</v>
      </c>
      <c r="X700" s="33">
        <v>4256</v>
      </c>
      <c r="Y700" s="33"/>
      <c r="Z700" s="33">
        <f t="shared" ref="Z700" si="1009">SUM(W695:W700)</f>
        <v>10651</v>
      </c>
      <c r="AA700" s="33">
        <f t="shared" ref="AA700" si="1010">+AA699+W700</f>
        <v>832874</v>
      </c>
      <c r="AB700" s="33"/>
      <c r="AC700" s="46">
        <f t="shared" ref="AC700" si="1011">+AA700/H700</f>
        <v>1.2007696641830138E-2</v>
      </c>
      <c r="AD700" s="33"/>
      <c r="AE700" s="33">
        <f t="shared" ref="AE700" si="1012">+AA700/BW700</f>
        <v>1205.3169319826338</v>
      </c>
      <c r="AF700" s="50"/>
      <c r="AG700" s="33"/>
      <c r="AH700" s="33"/>
      <c r="AI700" s="213"/>
      <c r="AJ700" s="50"/>
      <c r="AL700" s="23">
        <f t="shared" ref="AL700" si="1013">+AP700-AP699</f>
        <v>482013</v>
      </c>
      <c r="AM700" s="24"/>
      <c r="AN700" s="24"/>
      <c r="AO700" s="24">
        <v>178263</v>
      </c>
      <c r="AP700" s="24">
        <v>48828328</v>
      </c>
      <c r="AQ700" s="24">
        <v>20336656</v>
      </c>
      <c r="AR700" s="461">
        <f t="shared" ref="AR700" si="1014">+AL700/AP699</f>
        <v>9.9700049528076758E-3</v>
      </c>
      <c r="AS700" s="25"/>
      <c r="AT700" s="25"/>
      <c r="AU700" s="24"/>
      <c r="AV700" s="298">
        <f t="shared" ref="AV700" si="1015">+AP700/H700</f>
        <v>0.70396692675216244</v>
      </c>
      <c r="AW700" s="298"/>
      <c r="AX700" s="24">
        <f t="shared" ref="AX700" si="1016">+AP700/BW700</f>
        <v>70663.282199710564</v>
      </c>
      <c r="AY700" s="308"/>
      <c r="BA700" s="65">
        <f t="shared" ref="BA700" si="1017">+BC700-BC699</f>
        <v>1754519</v>
      </c>
      <c r="BB700" s="66"/>
      <c r="BC700" s="66">
        <v>920046997</v>
      </c>
      <c r="BD700" s="66"/>
      <c r="BE700" s="66">
        <f t="shared" ref="BE700" si="1018">+D700</f>
        <v>179169</v>
      </c>
      <c r="BF700" s="66"/>
      <c r="BG700" s="144">
        <f t="shared" ref="BG700" si="1019">+BE700/BA700</f>
        <v>0.10211858634759727</v>
      </c>
      <c r="BH700" s="66"/>
      <c r="BI700" s="170"/>
      <c r="BJ700" s="66"/>
      <c r="BK700" s="66"/>
      <c r="BL700" s="66"/>
      <c r="BM700" s="144"/>
      <c r="BN700" s="65">
        <f t="shared" ref="BN700" si="1020">+BC700/BW700</f>
        <v>1331471.7756874096</v>
      </c>
      <c r="BO700" s="66"/>
      <c r="BP700" s="66">
        <f t="shared" ref="BP700" si="1021">+BP699+BE700</f>
        <v>68454701</v>
      </c>
      <c r="BQ700" s="66"/>
      <c r="BR700" s="435">
        <f t="shared" ref="BR700" si="1022">+BP700/BC700</f>
        <v>7.4403482890776723E-2</v>
      </c>
      <c r="BS700" s="66"/>
      <c r="BT700" s="75"/>
      <c r="BU700" s="170"/>
      <c r="BV700" s="1"/>
      <c r="BW700" s="61">
        <f t="shared" si="399"/>
        <v>691</v>
      </c>
    </row>
    <row r="701" spans="2:85" x14ac:dyDescent="0.3">
      <c r="B701" s="158">
        <f t="shared" si="1002"/>
        <v>44601</v>
      </c>
      <c r="C701" s="61"/>
      <c r="D701" s="17">
        <v>227458</v>
      </c>
      <c r="E701" s="16"/>
      <c r="F701" s="16"/>
      <c r="G701" s="16"/>
      <c r="H701" s="16">
        <f t="shared" ref="H701" si="1023">+H700+D701</f>
        <v>69589137</v>
      </c>
      <c r="I701" s="16"/>
      <c r="J701" s="436">
        <f t="shared" ref="J701" si="1024">+D701/H700</f>
        <v>3.2793035474242196E-3</v>
      </c>
      <c r="K701" s="16"/>
      <c r="L701" s="16"/>
      <c r="M701" s="16"/>
      <c r="N701" s="16">
        <f t="shared" ref="N701" si="1025">SUM(D695:D701)</f>
        <v>1275428</v>
      </c>
      <c r="O701" s="16">
        <f t="shared" ref="O701" si="1026">+H701/BW701</f>
        <v>100562.33670520231</v>
      </c>
      <c r="P701" s="41"/>
      <c r="Q701" s="17">
        <f t="shared" ref="Q701" si="1027">SUM(D695:D701)</f>
        <v>1275428</v>
      </c>
      <c r="R701" s="16"/>
      <c r="S701" s="60">
        <f t="shared" ref="S701" si="1028">+(Q701-Q694)/Q694</f>
        <v>-0.43256533652710383</v>
      </c>
      <c r="T701" s="16"/>
      <c r="U701" s="41"/>
      <c r="V701" s="10">
        <f t="shared" si="558"/>
        <v>593</v>
      </c>
      <c r="W701" s="34">
        <v>2785</v>
      </c>
      <c r="X701" s="33">
        <v>4256</v>
      </c>
      <c r="Y701" s="33"/>
      <c r="Z701" s="33">
        <f t="shared" ref="Z701" si="1029">SUM(W696:W701)</f>
        <v>11060</v>
      </c>
      <c r="AA701" s="33">
        <f t="shared" ref="AA701" si="1030">+AA700+W701</f>
        <v>835659</v>
      </c>
      <c r="AB701" s="33"/>
      <c r="AC701" s="46">
        <f t="shared" ref="AC701" si="1031">+AA701/H701</f>
        <v>1.2008469080454325E-2</v>
      </c>
      <c r="AD701" s="33"/>
      <c r="AE701" s="33">
        <f t="shared" ref="AE701" si="1032">+AA701/BW701</f>
        <v>1207.599710982659</v>
      </c>
      <c r="AF701" s="50"/>
      <c r="AG701" s="33"/>
      <c r="AH701" s="33"/>
      <c r="AI701" s="213"/>
      <c r="AJ701" s="50"/>
      <c r="AL701" s="23">
        <f t="shared" ref="AL701" si="1033">+AP701-AP700</f>
        <v>389026</v>
      </c>
      <c r="AM701" s="24"/>
      <c r="AN701" s="24"/>
      <c r="AO701" s="24">
        <v>178263</v>
      </c>
      <c r="AP701" s="24">
        <v>49217354</v>
      </c>
      <c r="AQ701" s="24">
        <v>20336656</v>
      </c>
      <c r="AR701" s="461">
        <f t="shared" ref="AR701" si="1034">+AL701/AP700</f>
        <v>7.9672193567635573E-3</v>
      </c>
      <c r="AS701" s="25"/>
      <c r="AT701" s="25"/>
      <c r="AU701" s="24"/>
      <c r="AV701" s="298">
        <f t="shared" ref="AV701" si="1035">+AP701/H701</f>
        <v>0.70725627765724408</v>
      </c>
      <c r="AW701" s="298"/>
      <c r="AX701" s="24">
        <f t="shared" ref="AX701" si="1036">+AP701/BW701</f>
        <v>71123.343930635834</v>
      </c>
      <c r="AY701" s="308"/>
      <c r="BA701" s="65">
        <f t="shared" ref="BA701" si="1037">+BC701-BC700</f>
        <v>2083737</v>
      </c>
      <c r="BB701" s="66"/>
      <c r="BC701" s="66">
        <v>922130734</v>
      </c>
      <c r="BD701" s="66"/>
      <c r="BE701" s="66">
        <f t="shared" ref="BE701" si="1038">+D701</f>
        <v>227458</v>
      </c>
      <c r="BF701" s="66"/>
      <c r="BG701" s="144">
        <f t="shared" ref="BG701" si="1039">+BE701/BA701</f>
        <v>0.10915868941233947</v>
      </c>
      <c r="BH701" s="66"/>
      <c r="BI701" s="170"/>
      <c r="BJ701" s="66"/>
      <c r="BK701" s="66"/>
      <c r="BL701" s="66"/>
      <c r="BM701" s="144"/>
      <c r="BN701" s="65">
        <f t="shared" ref="BN701" si="1040">+BC701/BW701</f>
        <v>1332558.8641618497</v>
      </c>
      <c r="BO701" s="66"/>
      <c r="BP701" s="66">
        <f t="shared" ref="BP701" si="1041">+BP700+BE701</f>
        <v>68682159</v>
      </c>
      <c r="BQ701" s="66"/>
      <c r="BR701" s="435">
        <f t="shared" ref="BR701" si="1042">+BP701/BC701</f>
        <v>7.4482019162371835E-2</v>
      </c>
      <c r="BS701" s="66"/>
      <c r="BT701" s="75"/>
      <c r="BU701" s="170"/>
      <c r="BV701" s="1"/>
      <c r="BW701" s="61">
        <f t="shared" si="399"/>
        <v>692</v>
      </c>
    </row>
    <row r="702" spans="2:85" x14ac:dyDescent="0.3">
      <c r="B702" s="158">
        <f>1+B701</f>
        <v>44602</v>
      </c>
      <c r="C702" s="61"/>
      <c r="D702" s="17">
        <v>179237</v>
      </c>
      <c r="E702" s="16"/>
      <c r="F702" s="16"/>
      <c r="G702" s="16"/>
      <c r="H702" s="16">
        <f t="shared" ref="H702" si="1043">+H701+D702</f>
        <v>69768374</v>
      </c>
      <c r="I702" s="16"/>
      <c r="J702" s="436">
        <f t="shared" ref="J702" si="1044">+D702/H701</f>
        <v>2.5756462535237359E-3</v>
      </c>
      <c r="K702" s="16"/>
      <c r="L702" s="16"/>
      <c r="M702" s="16"/>
      <c r="N702" s="16">
        <f t="shared" ref="N702" si="1045">SUM(D696:D702)</f>
        <v>1198671</v>
      </c>
      <c r="O702" s="16">
        <f t="shared" ref="O702" si="1046">+H702/BW702</f>
        <v>100675.86435786435</v>
      </c>
      <c r="P702" s="41"/>
      <c r="Q702" s="17">
        <f t="shared" ref="Q702" si="1047">SUM(D696:D702)</f>
        <v>1198671</v>
      </c>
      <c r="R702" s="16"/>
      <c r="S702" s="60">
        <f t="shared" ref="S702" si="1048">+(Q702-Q695)/Q695</f>
        <v>-0.40256196320486137</v>
      </c>
      <c r="T702" s="16"/>
      <c r="U702" s="41"/>
      <c r="V702" s="10">
        <f t="shared" si="558"/>
        <v>594</v>
      </c>
      <c r="W702" s="34">
        <v>2465</v>
      </c>
      <c r="X702" s="33">
        <v>4256</v>
      </c>
      <c r="Y702" s="33"/>
      <c r="Z702" s="33">
        <f t="shared" ref="Z702" si="1049">SUM(W697:W702)</f>
        <v>10832</v>
      </c>
      <c r="AA702" s="33">
        <f t="shared" ref="AA702" si="1050">+AA701+W702</f>
        <v>838124</v>
      </c>
      <c r="AB702" s="33"/>
      <c r="AC702" s="46">
        <f t="shared" ref="AC702" si="1051">+AA702/H702</f>
        <v>1.201295016564382E-2</v>
      </c>
      <c r="AD702" s="33"/>
      <c r="AE702" s="33">
        <f t="shared" ref="AE702" si="1052">+AA702/BW702</f>
        <v>1209.4141414141413</v>
      </c>
      <c r="AF702" s="50"/>
      <c r="AG702" s="33"/>
      <c r="AH702" s="33"/>
      <c r="AI702" s="213"/>
      <c r="AJ702" s="50"/>
      <c r="AL702" s="23">
        <f t="shared" ref="AL702" si="1053">+AP702-AP701</f>
        <v>218184</v>
      </c>
      <c r="AM702" s="24"/>
      <c r="AN702" s="24"/>
      <c r="AO702" s="24">
        <v>178263</v>
      </c>
      <c r="AP702" s="24">
        <v>49435538</v>
      </c>
      <c r="AQ702" s="24">
        <v>20336656</v>
      </c>
      <c r="AR702" s="461">
        <f t="shared" ref="AR702" si="1054">+AL702/AP701</f>
        <v>4.4330704978573212E-3</v>
      </c>
      <c r="AS702" s="25"/>
      <c r="AT702" s="25"/>
      <c r="AU702" s="24"/>
      <c r="AV702" s="298">
        <f t="shared" ref="AV702" si="1055">+AP702/H702</f>
        <v>0.70856657774481024</v>
      </c>
      <c r="AW702" s="298"/>
      <c r="AX702" s="24">
        <f t="shared" ref="AX702" si="1056">+AP702/BW702</f>
        <v>71335.552669552664</v>
      </c>
      <c r="AY702" s="308"/>
      <c r="BA702" s="65">
        <f t="shared" ref="BA702" si="1057">+BC702-BC701</f>
        <v>1860219</v>
      </c>
      <c r="BB702" s="66"/>
      <c r="BC702" s="66">
        <v>923990953</v>
      </c>
      <c r="BD702" s="66"/>
      <c r="BE702" s="66">
        <f t="shared" ref="BE702" si="1058">+D702</f>
        <v>179237</v>
      </c>
      <c r="BF702" s="66"/>
      <c r="BG702" s="144">
        <f t="shared" ref="BG702" si="1059">+BE702/BA702</f>
        <v>9.6352633749037075E-2</v>
      </c>
      <c r="BH702" s="66"/>
      <c r="BI702" s="170"/>
      <c r="BJ702" s="66"/>
      <c r="BK702" s="66"/>
      <c r="BL702" s="66"/>
      <c r="BM702" s="144"/>
      <c r="BN702" s="65">
        <f t="shared" ref="BN702" si="1060">+BC702/BW702</f>
        <v>1333320.2784992785</v>
      </c>
      <c r="BO702" s="66"/>
      <c r="BP702" s="66">
        <f t="shared" ref="BP702" si="1061">+BP701+BE702</f>
        <v>68861396</v>
      </c>
      <c r="BQ702" s="66"/>
      <c r="BR702" s="435">
        <f t="shared" ref="BR702" si="1062">+BP702/BC702</f>
        <v>7.4526050040232369E-2</v>
      </c>
      <c r="BS702" s="66"/>
      <c r="BT702" s="75"/>
      <c r="BU702" s="170"/>
      <c r="BV702" s="1"/>
      <c r="BW702" s="61">
        <f t="shared" si="399"/>
        <v>693</v>
      </c>
      <c r="BZ702" s="1"/>
      <c r="CA702" s="61"/>
    </row>
    <row r="703" spans="2:85" x14ac:dyDescent="0.3">
      <c r="B703" s="158">
        <f t="shared" ref="B703:B770" si="1063">1+B702</f>
        <v>44603</v>
      </c>
      <c r="C703" s="61"/>
      <c r="D703" s="17">
        <v>149318</v>
      </c>
      <c r="E703" s="16"/>
      <c r="F703" s="16"/>
      <c r="G703" s="16"/>
      <c r="H703" s="16">
        <f t="shared" ref="H703" si="1064">+H702+D703</f>
        <v>69917692</v>
      </c>
      <c r="I703" s="16"/>
      <c r="J703" s="436">
        <f t="shared" ref="J703" si="1065">+D703/H702</f>
        <v>2.1401960722203443E-3</v>
      </c>
      <c r="K703" s="16"/>
      <c r="L703" s="16"/>
      <c r="M703" s="16"/>
      <c r="N703" s="16">
        <f t="shared" ref="N703" si="1066">SUM(D697:D703)</f>
        <v>1044716</v>
      </c>
      <c r="O703" s="16">
        <f t="shared" ref="O703" si="1067">+H703/BW703</f>
        <v>100745.95389048991</v>
      </c>
      <c r="P703" s="41"/>
      <c r="Q703" s="17">
        <f t="shared" ref="Q703" si="1068">SUM(D697:D703)</f>
        <v>1044716</v>
      </c>
      <c r="R703" s="16"/>
      <c r="S703" s="60">
        <f t="shared" ref="S703" si="1069">+(Q703-Q696)/Q696</f>
        <v>-0.41548627138321237</v>
      </c>
      <c r="T703" s="16"/>
      <c r="U703" s="41"/>
      <c r="V703" s="10">
        <f t="shared" si="558"/>
        <v>595</v>
      </c>
      <c r="W703" s="34">
        <v>1917</v>
      </c>
      <c r="X703" s="33">
        <v>4256</v>
      </c>
      <c r="Y703" s="33"/>
      <c r="Z703" s="33">
        <f t="shared" ref="Z703" si="1070">SUM(W698:W703)</f>
        <v>11698</v>
      </c>
      <c r="AA703" s="33">
        <f t="shared" ref="AA703" si="1071">+AA702+W703</f>
        <v>840041</v>
      </c>
      <c r="AB703" s="33"/>
      <c r="AC703" s="46">
        <f t="shared" ref="AC703" si="1072">+AA703/H703</f>
        <v>1.2014712957058136E-2</v>
      </c>
      <c r="AD703" s="33"/>
      <c r="AE703" s="33">
        <f t="shared" ref="AE703" si="1073">+AA703/BW703</f>
        <v>1210.4337175792507</v>
      </c>
      <c r="AF703" s="50"/>
      <c r="AG703" s="33"/>
      <c r="AH703" s="33"/>
      <c r="AI703" s="213"/>
      <c r="AJ703" s="50"/>
      <c r="AL703" s="23">
        <f t="shared" ref="AL703" si="1074">+AP703-AP702</f>
        <v>191066</v>
      </c>
      <c r="AM703" s="24"/>
      <c r="AN703" s="24"/>
      <c r="AO703" s="24">
        <v>178263</v>
      </c>
      <c r="AP703" s="24">
        <v>49626604</v>
      </c>
      <c r="AQ703" s="24">
        <v>20336656</v>
      </c>
      <c r="AR703" s="461">
        <f t="shared" ref="AR703" si="1075">+AL703/AP702</f>
        <v>3.8649523749493733E-3</v>
      </c>
      <c r="AS703" s="25"/>
      <c r="AT703" s="25"/>
      <c r="AU703" s="24"/>
      <c r="AV703" s="298">
        <f t="shared" ref="AV703" si="1076">+AP703/H703</f>
        <v>0.70978607245788372</v>
      </c>
      <c r="AW703" s="298"/>
      <c r="AX703" s="24">
        <f t="shared" ref="AX703" si="1077">+AP703/BW703</f>
        <v>71508.074927953887</v>
      </c>
      <c r="AY703" s="308"/>
      <c r="BA703" s="65">
        <f t="shared" ref="BA703" si="1078">+BC703-BC702</f>
        <v>1711680</v>
      </c>
      <c r="BB703" s="66"/>
      <c r="BC703" s="66">
        <v>925702633</v>
      </c>
      <c r="BD703" s="66"/>
      <c r="BE703" s="66">
        <f t="shared" ref="BE703" si="1079">+D703</f>
        <v>149318</v>
      </c>
      <c r="BF703" s="66"/>
      <c r="BG703" s="144">
        <f t="shared" ref="BG703" si="1080">+BE703/BA703</f>
        <v>8.723476350719761E-2</v>
      </c>
      <c r="BH703" s="66"/>
      <c r="BI703" s="170"/>
      <c r="BJ703" s="66"/>
      <c r="BK703" s="66"/>
      <c r="BL703" s="66"/>
      <c r="BM703" s="144"/>
      <c r="BN703" s="65">
        <f t="shared" ref="BN703" si="1081">+BC703/BW703</f>
        <v>1333865.4654178675</v>
      </c>
      <c r="BO703" s="66"/>
      <c r="BP703" s="66">
        <f t="shared" ref="BP703" si="1082">+BP702+BE703</f>
        <v>69010714</v>
      </c>
      <c r="BQ703" s="66"/>
      <c r="BR703" s="435">
        <f t="shared" ref="BR703" si="1083">+BP703/BC703</f>
        <v>7.4549549217929043E-2</v>
      </c>
      <c r="BS703" s="66"/>
      <c r="BT703" s="75"/>
      <c r="BU703" s="170"/>
      <c r="BV703" s="1"/>
      <c r="BW703" s="61">
        <f t="shared" si="399"/>
        <v>694</v>
      </c>
      <c r="BZ703" s="1"/>
      <c r="CA703" s="61"/>
    </row>
    <row r="704" spans="2:85" x14ac:dyDescent="0.3">
      <c r="B704" s="158">
        <f t="shared" si="1063"/>
        <v>44604</v>
      </c>
      <c r="C704" s="61"/>
      <c r="D704" s="17">
        <v>59579</v>
      </c>
      <c r="E704" s="16"/>
      <c r="F704" s="16"/>
      <c r="G704" s="16"/>
      <c r="H704" s="16">
        <f t="shared" ref="H704" si="1084">+H703+D704</f>
        <v>69977271</v>
      </c>
      <c r="I704" s="16"/>
      <c r="J704" s="436">
        <f t="shared" ref="J704" si="1085">+D704/H703</f>
        <v>8.5213053085333534E-4</v>
      </c>
      <c r="K704" s="16"/>
      <c r="L704" s="16"/>
      <c r="M704" s="16"/>
      <c r="N704" s="16">
        <f t="shared" ref="N704" si="1086">SUM(D698:D704)</f>
        <v>999273</v>
      </c>
      <c r="O704" s="16">
        <f t="shared" ref="O704" si="1087">+H704/BW704</f>
        <v>100686.72086330935</v>
      </c>
      <c r="P704" s="41"/>
      <c r="Q704" s="17">
        <f t="shared" ref="Q704" si="1088">SUM(D698:D704)</f>
        <v>999273</v>
      </c>
      <c r="R704" s="16"/>
      <c r="S704" s="60">
        <f t="shared" ref="S704" si="1089">+(Q704-Q697)/Q697</f>
        <v>-0.41230263262364297</v>
      </c>
      <c r="T704" s="16"/>
      <c r="U704" s="41"/>
      <c r="V704" s="10">
        <f t="shared" si="558"/>
        <v>596</v>
      </c>
      <c r="W704" s="34">
        <v>873</v>
      </c>
      <c r="X704" s="33">
        <v>4256</v>
      </c>
      <c r="Y704" s="33"/>
      <c r="Z704" s="33">
        <f t="shared" ref="Z704" si="1090">SUM(W699:W704)</f>
        <v>12197</v>
      </c>
      <c r="AA704" s="33">
        <f t="shared" ref="AA704" si="1091">+AA703+W704</f>
        <v>840914</v>
      </c>
      <c r="AB704" s="33"/>
      <c r="AC704" s="46">
        <f t="shared" ref="AC704" si="1092">+AA704/H704</f>
        <v>1.2016959049460502E-2</v>
      </c>
      <c r="AD704" s="33"/>
      <c r="AE704" s="33">
        <f t="shared" ref="AE704" si="1093">+AA704/BW704</f>
        <v>1209.9482014388489</v>
      </c>
      <c r="AF704" s="50"/>
      <c r="AG704" s="33"/>
      <c r="AH704" s="33"/>
      <c r="AI704" s="213"/>
      <c r="AJ704" s="50"/>
      <c r="AL704" s="23">
        <f t="shared" ref="AL704" si="1094">+AP704-AP703</f>
        <v>132790</v>
      </c>
      <c r="AM704" s="24"/>
      <c r="AN704" s="24"/>
      <c r="AO704" s="24">
        <v>178263</v>
      </c>
      <c r="AP704" s="24">
        <v>49759394</v>
      </c>
      <c r="AQ704" s="24">
        <v>20336656</v>
      </c>
      <c r="AR704" s="461">
        <f t="shared" ref="AR704" si="1095">+AL704/AP703</f>
        <v>2.6757825298704702E-3</v>
      </c>
      <c r="AS704" s="25"/>
      <c r="AT704" s="25"/>
      <c r="AU704" s="24"/>
      <c r="AV704" s="298">
        <f t="shared" ref="AV704" si="1096">+AP704/H704</f>
        <v>0.7110793731867594</v>
      </c>
      <c r="AW704" s="298"/>
      <c r="AX704" s="24">
        <f t="shared" ref="AX704" si="1097">+AP704/BW704</f>
        <v>71596.250359712227</v>
      </c>
      <c r="AY704" s="308"/>
      <c r="BA704" s="65">
        <f t="shared" ref="BA704" si="1098">+BC704-BC703</f>
        <v>535429</v>
      </c>
      <c r="BB704" s="66"/>
      <c r="BC704" s="66">
        <v>926238062</v>
      </c>
      <c r="BD704" s="66"/>
      <c r="BE704" s="66">
        <f t="shared" ref="BE704" si="1099">+D704</f>
        <v>59579</v>
      </c>
      <c r="BF704" s="66"/>
      <c r="BG704" s="144">
        <f t="shared" ref="BG704" si="1100">+BE704/BA704</f>
        <v>0.11127339012268667</v>
      </c>
      <c r="BH704" s="66"/>
      <c r="BI704" s="170"/>
      <c r="BJ704" s="66"/>
      <c r="BK704" s="66"/>
      <c r="BL704" s="66"/>
      <c r="BM704" s="144"/>
      <c r="BN704" s="65">
        <f t="shared" ref="BN704" si="1101">+BC704/BW704</f>
        <v>1332716.635971223</v>
      </c>
      <c r="BO704" s="66"/>
      <c r="BP704" s="66">
        <f t="shared" ref="BP704" si="1102">+BP703+BE704</f>
        <v>69070293</v>
      </c>
      <c r="BQ704" s="66"/>
      <c r="BR704" s="435">
        <f t="shared" ref="BR704" si="1103">+BP704/BC704</f>
        <v>7.4570778111685929E-2</v>
      </c>
      <c r="BS704" s="66"/>
      <c r="BT704" s="75"/>
      <c r="BU704" s="170"/>
      <c r="BV704" s="1"/>
      <c r="BW704" s="61">
        <f t="shared" si="399"/>
        <v>695</v>
      </c>
      <c r="BZ704" s="1"/>
      <c r="CA704" s="61"/>
    </row>
    <row r="705" spans="2:79" x14ac:dyDescent="0.3">
      <c r="B705" s="347">
        <f t="shared" si="1063"/>
        <v>44605</v>
      </c>
      <c r="C705" s="61"/>
      <c r="D705" s="17">
        <v>31652</v>
      </c>
      <c r="E705" s="16"/>
      <c r="F705" s="16"/>
      <c r="G705" s="16"/>
      <c r="H705" s="16">
        <f t="shared" ref="H705" si="1104">+H704+D705</f>
        <v>70008923</v>
      </c>
      <c r="I705" s="16"/>
      <c r="J705" s="436">
        <f t="shared" ref="J705" si="1105">+D705/H704</f>
        <v>4.5231829632224441E-4</v>
      </c>
      <c r="K705" s="16"/>
      <c r="L705" s="16"/>
      <c r="M705" s="16"/>
      <c r="N705" s="16">
        <f t="shared" ref="N705" si="1106">SUM(D699:D705)</f>
        <v>980214</v>
      </c>
      <c r="O705" s="16">
        <f t="shared" ref="O705" si="1107">+H705/BW705</f>
        <v>100587.533045977</v>
      </c>
      <c r="P705" s="41"/>
      <c r="Q705" s="17">
        <f t="shared" ref="Q705" si="1108">SUM(D699:D705)</f>
        <v>980214</v>
      </c>
      <c r="R705" s="16"/>
      <c r="S705" s="60">
        <f t="shared" ref="S705" si="1109">+(Q705-Q698)/Q698</f>
        <v>-0.38483137076716745</v>
      </c>
      <c r="T705" s="16"/>
      <c r="U705" s="41"/>
      <c r="V705" s="10">
        <f t="shared" si="558"/>
        <v>597</v>
      </c>
      <c r="W705" s="34">
        <v>467</v>
      </c>
      <c r="X705" s="33">
        <v>4256</v>
      </c>
      <c r="Y705" s="33"/>
      <c r="Z705" s="33">
        <f t="shared" ref="Z705" si="1110">SUM(W700:W705)</f>
        <v>11284</v>
      </c>
      <c r="AA705" s="33">
        <f t="shared" ref="AA705" si="1111">+AA704+W705</f>
        <v>841381</v>
      </c>
      <c r="AB705" s="33"/>
      <c r="AC705" s="46">
        <f t="shared" ref="AC705" si="1112">+AA705/H705</f>
        <v>1.2018196594739787E-2</v>
      </c>
      <c r="AD705" s="33"/>
      <c r="AE705" s="33">
        <f t="shared" ref="AE705" si="1113">+AA705/BW705</f>
        <v>1208.8807471264367</v>
      </c>
      <c r="AF705" s="50"/>
      <c r="AG705" s="33"/>
      <c r="AH705" s="33"/>
      <c r="AI705" s="213"/>
      <c r="AJ705" s="50"/>
      <c r="AL705" s="23">
        <f t="shared" ref="AL705" si="1114">+AP705-AP704</f>
        <v>77499</v>
      </c>
      <c r="AM705" s="24"/>
      <c r="AN705" s="24"/>
      <c r="AO705" s="24">
        <v>178263</v>
      </c>
      <c r="AP705" s="24">
        <v>49836893</v>
      </c>
      <c r="AQ705" s="24">
        <v>20336656</v>
      </c>
      <c r="AR705" s="461">
        <f t="shared" ref="AR705" si="1115">+AL705/AP704</f>
        <v>1.5574747554200519E-3</v>
      </c>
      <c r="AS705" s="25"/>
      <c r="AT705" s="25"/>
      <c r="AU705" s="24"/>
      <c r="AV705" s="298">
        <f t="shared" ref="AV705" si="1116">+AP705/H705</f>
        <v>0.7118648718535493</v>
      </c>
      <c r="AW705" s="298"/>
      <c r="AX705" s="24">
        <f t="shared" ref="AX705" si="1117">+AP705/BW705</f>
        <v>71604.731321839077</v>
      </c>
      <c r="AY705" s="308"/>
      <c r="BA705" s="65">
        <f t="shared" ref="BA705" si="1118">+BC705-BC704</f>
        <v>407001</v>
      </c>
      <c r="BB705" s="66"/>
      <c r="BC705" s="66">
        <v>926645063</v>
      </c>
      <c r="BD705" s="66"/>
      <c r="BE705" s="66">
        <f t="shared" ref="BE705" si="1119">+D705</f>
        <v>31652</v>
      </c>
      <c r="BF705" s="66"/>
      <c r="BG705" s="144">
        <f t="shared" ref="BG705" si="1120">+BE705/BA705</f>
        <v>7.7768850690784541E-2</v>
      </c>
      <c r="BH705" s="66"/>
      <c r="BI705" s="170"/>
      <c r="BJ705" s="66"/>
      <c r="BK705" s="66"/>
      <c r="BL705" s="66"/>
      <c r="BM705" s="144"/>
      <c r="BN705" s="65">
        <f t="shared" ref="BN705" si="1121">+BC705/BW705</f>
        <v>1331386.5847701149</v>
      </c>
      <c r="BO705" s="66"/>
      <c r="BP705" s="66">
        <f t="shared" ref="BP705" si="1122">+BP704+BE705</f>
        <v>69101945</v>
      </c>
      <c r="BQ705" s="66"/>
      <c r="BR705" s="435">
        <f t="shared" ref="BR705" si="1123">+BP705/BC705</f>
        <v>7.4572182768970305E-2</v>
      </c>
      <c r="BS705" s="66"/>
      <c r="BT705" s="75"/>
      <c r="BU705" s="170"/>
      <c r="BV705" s="1"/>
      <c r="BW705" s="61">
        <f t="shared" si="399"/>
        <v>696</v>
      </c>
      <c r="BZ705" s="1"/>
      <c r="CA705" s="61"/>
    </row>
    <row r="706" spans="2:79" x14ac:dyDescent="0.3">
      <c r="B706" s="158">
        <f t="shared" si="1063"/>
        <v>44606</v>
      </c>
      <c r="C706" s="61"/>
      <c r="D706" s="17">
        <v>80842</v>
      </c>
      <c r="E706" s="16"/>
      <c r="F706" s="16"/>
      <c r="G706" s="16"/>
      <c r="H706" s="16">
        <f t="shared" ref="H706" si="1124">+H705+D706</f>
        <v>70089765</v>
      </c>
      <c r="I706" s="16"/>
      <c r="J706" s="436">
        <f t="shared" ref="J706" si="1125">+D706/H705</f>
        <v>1.1547385181171835E-3</v>
      </c>
      <c r="K706" s="16"/>
      <c r="L706" s="16"/>
      <c r="M706" s="16"/>
      <c r="N706" s="16">
        <f t="shared" ref="N706" si="1126">SUM(D700:D706)</f>
        <v>907255</v>
      </c>
      <c r="O706" s="16">
        <f t="shared" ref="O706" si="1127">+H706/BW706</f>
        <v>100559.20373027259</v>
      </c>
      <c r="P706" s="41"/>
      <c r="Q706" s="17">
        <f t="shared" ref="Q706" si="1128">SUM(D700:D706)</f>
        <v>907255</v>
      </c>
      <c r="R706" s="16"/>
      <c r="S706" s="60">
        <f t="shared" ref="S706" si="1129">+(Q706-Q699)/Q699</f>
        <v>-0.38405246099303297</v>
      </c>
      <c r="T706" s="16"/>
      <c r="U706" s="41"/>
      <c r="V706" s="10">
        <f t="shared" si="558"/>
        <v>598</v>
      </c>
      <c r="W706" s="34">
        <v>949</v>
      </c>
      <c r="X706" s="33">
        <v>4256</v>
      </c>
      <c r="Y706" s="33"/>
      <c r="Z706" s="33">
        <f t="shared" ref="Z706" si="1130">SUM(W701:W706)</f>
        <v>9456</v>
      </c>
      <c r="AA706" s="33">
        <f t="shared" ref="AA706" si="1131">+AA705+W706</f>
        <v>842330</v>
      </c>
      <c r="AB706" s="33"/>
      <c r="AC706" s="46">
        <f t="shared" ref="AC706" si="1132">+AA706/H706</f>
        <v>1.2017874507069613E-2</v>
      </c>
      <c r="AD706" s="33"/>
      <c r="AE706" s="33">
        <f t="shared" ref="AE706" si="1133">+AA706/BW706</f>
        <v>1208.5078909612625</v>
      </c>
      <c r="AF706" s="50"/>
      <c r="AG706" s="33"/>
      <c r="AH706" s="33"/>
      <c r="AI706" s="213"/>
      <c r="AJ706" s="50"/>
      <c r="AL706" s="23">
        <f t="shared" ref="AL706" si="1134">+AP706-AP705</f>
        <v>371524</v>
      </c>
      <c r="AM706" s="24"/>
      <c r="AN706" s="24"/>
      <c r="AO706" s="24">
        <v>178263</v>
      </c>
      <c r="AP706" s="24">
        <v>50208417</v>
      </c>
      <c r="AQ706" s="24">
        <v>20336656</v>
      </c>
      <c r="AR706" s="461">
        <f t="shared" ref="AR706" si="1135">+AL706/AP705</f>
        <v>7.4547985966942204E-3</v>
      </c>
      <c r="AS706" s="25"/>
      <c r="AT706" s="25"/>
      <c r="AU706" s="24"/>
      <c r="AV706" s="298">
        <f t="shared" ref="AV706" si="1136">+AP706/H706</f>
        <v>0.71634449052582783</v>
      </c>
      <c r="AW706" s="298"/>
      <c r="AX706" s="24">
        <f t="shared" ref="AX706" si="1137">+AP706/BW706</f>
        <v>72035.031563845056</v>
      </c>
      <c r="AY706" s="308"/>
      <c r="BA706" s="65">
        <f t="shared" ref="BA706" si="1138">+BC706-BC705</f>
        <v>2520306</v>
      </c>
      <c r="BB706" s="66"/>
      <c r="BC706" s="66">
        <v>929165369</v>
      </c>
      <c r="BD706" s="66"/>
      <c r="BE706" s="66">
        <f t="shared" ref="BE706" si="1139">+D706</f>
        <v>80842</v>
      </c>
      <c r="BF706" s="66"/>
      <c r="BG706" s="144">
        <f t="shared" ref="BG706" si="1140">+BE706/BA706</f>
        <v>3.2076263755274163E-2</v>
      </c>
      <c r="BH706" s="66"/>
      <c r="BI706" s="170"/>
      <c r="BJ706" s="66"/>
      <c r="BK706" s="66"/>
      <c r="BL706" s="66"/>
      <c r="BM706" s="144"/>
      <c r="BN706" s="65">
        <f t="shared" ref="BN706" si="1141">+BC706/BW706</f>
        <v>1333092.3515064563</v>
      </c>
      <c r="BO706" s="66"/>
      <c r="BP706" s="66">
        <f t="shared" ref="BP706" si="1142">+BP705+BE706</f>
        <v>69182787</v>
      </c>
      <c r="BQ706" s="66"/>
      <c r="BR706" s="435">
        <f t="shared" ref="BR706" si="1143">+BP706/BC706</f>
        <v>7.4456915107002877E-2</v>
      </c>
      <c r="BS706" s="66"/>
      <c r="BT706" s="75"/>
      <c r="BU706" s="170"/>
      <c r="BV706" s="1"/>
      <c r="BW706" s="61">
        <f t="shared" si="399"/>
        <v>697</v>
      </c>
      <c r="BZ706" s="1"/>
      <c r="CA706" s="61"/>
    </row>
    <row r="707" spans="2:79" x14ac:dyDescent="0.3">
      <c r="B707" s="158">
        <f t="shared" si="1063"/>
        <v>44607</v>
      </c>
      <c r="C707" s="61"/>
      <c r="D707" s="17">
        <v>97867</v>
      </c>
      <c r="E707" s="16"/>
      <c r="F707" s="16"/>
      <c r="G707" s="16"/>
      <c r="H707" s="16">
        <f t="shared" ref="H707" si="1144">+H706+D707</f>
        <v>70187632</v>
      </c>
      <c r="I707" s="16"/>
      <c r="J707" s="436">
        <f t="shared" ref="J707" si="1145">+D707/H706</f>
        <v>1.396309432625434E-3</v>
      </c>
      <c r="K707" s="16"/>
      <c r="L707" s="16"/>
      <c r="M707" s="16"/>
      <c r="N707" s="16">
        <f t="shared" ref="N707" si="1146">SUM(D701:D707)</f>
        <v>825953</v>
      </c>
      <c r="O707" s="16">
        <f t="shared" ref="O707" si="1147">+H707/BW707</f>
        <v>100555.34670487106</v>
      </c>
      <c r="P707" s="41"/>
      <c r="Q707" s="17">
        <f t="shared" ref="Q707" si="1148">SUM(D701:D707)</f>
        <v>825953</v>
      </c>
      <c r="R707" s="16"/>
      <c r="S707" s="60">
        <f t="shared" ref="S707" si="1149">+(Q707-Q700)/Q700</f>
        <v>-0.38824957578693281</v>
      </c>
      <c r="T707" s="16"/>
      <c r="U707" s="41"/>
      <c r="V707" s="10">
        <f t="shared" si="558"/>
        <v>599</v>
      </c>
      <c r="W707" s="34">
        <v>2223</v>
      </c>
      <c r="X707" s="33">
        <v>4256</v>
      </c>
      <c r="Y707" s="33"/>
      <c r="Z707" s="33">
        <f t="shared" ref="Z707" si="1150">SUM(W702:W707)</f>
        <v>8894</v>
      </c>
      <c r="AA707" s="33">
        <f t="shared" ref="AA707" si="1151">+AA706+W707</f>
        <v>844553</v>
      </c>
      <c r="AB707" s="33"/>
      <c r="AC707" s="46">
        <f t="shared" ref="AC707" si="1152">+AA707/H707</f>
        <v>1.2032789480631004E-2</v>
      </c>
      <c r="AD707" s="33"/>
      <c r="AE707" s="33">
        <f t="shared" ref="AE707" si="1153">+AA707/BW707</f>
        <v>1209.961318051576</v>
      </c>
      <c r="AF707" s="50"/>
      <c r="AG707" s="33"/>
      <c r="AH707" s="33"/>
      <c r="AI707" s="213"/>
      <c r="AJ707" s="50"/>
      <c r="AL707" s="23">
        <f t="shared" ref="AL707" si="1154">+AP707-AP706</f>
        <v>356630</v>
      </c>
      <c r="AM707" s="24"/>
      <c r="AN707" s="24"/>
      <c r="AO707" s="24">
        <v>178263</v>
      </c>
      <c r="AP707" s="24">
        <v>50565047</v>
      </c>
      <c r="AQ707" s="24">
        <v>20336656</v>
      </c>
      <c r="AR707" s="461">
        <f t="shared" ref="AR707" si="1155">+AL707/AP706</f>
        <v>7.102992313021938E-3</v>
      </c>
      <c r="AS707" s="25"/>
      <c r="AT707" s="25"/>
      <c r="AU707" s="24"/>
      <c r="AV707" s="298">
        <f t="shared" ref="AV707" si="1156">+AP707/H707</f>
        <v>0.72042674128114192</v>
      </c>
      <c r="AW707" s="298"/>
      <c r="AX707" s="24">
        <f t="shared" ref="AX707" si="1157">+AP707/BW707</f>
        <v>72442.760744985673</v>
      </c>
      <c r="AY707" s="308"/>
      <c r="BA707" s="65">
        <f t="shared" ref="BA707" si="1158">+BC707-BC706</f>
        <v>3722812</v>
      </c>
      <c r="BB707" s="66"/>
      <c r="BC707" s="66">
        <v>932888181</v>
      </c>
      <c r="BD707" s="66"/>
      <c r="BE707" s="66">
        <f t="shared" ref="BE707" si="1159">+D707</f>
        <v>97867</v>
      </c>
      <c r="BF707" s="66"/>
      <c r="BG707" s="144">
        <f t="shared" ref="BG707" si="1160">+BE707/BA707</f>
        <v>2.628846151779891E-2</v>
      </c>
      <c r="BH707" s="66"/>
      <c r="BI707" s="170"/>
      <c r="BJ707" s="66"/>
      <c r="BK707" s="66"/>
      <c r="BL707" s="66"/>
      <c r="BM707" s="144"/>
      <c r="BN707" s="65">
        <f t="shared" ref="BN707" si="1161">+BC707/BW707</f>
        <v>1336516.0186246419</v>
      </c>
      <c r="BO707" s="66"/>
      <c r="BP707" s="66">
        <f t="shared" ref="BP707" si="1162">+BP706+BE707</f>
        <v>69280654</v>
      </c>
      <c r="BQ707" s="66"/>
      <c r="BR707" s="435">
        <f t="shared" ref="BR707" si="1163">+BP707/BC707</f>
        <v>7.4264692608427413E-2</v>
      </c>
      <c r="BS707" s="66"/>
      <c r="BT707" s="75"/>
      <c r="BU707" s="170"/>
      <c r="BV707" s="1"/>
      <c r="BW707" s="61">
        <f t="shared" si="399"/>
        <v>698</v>
      </c>
      <c r="BZ707" s="1"/>
      <c r="CA707" s="61"/>
    </row>
    <row r="708" spans="2:79" x14ac:dyDescent="0.3">
      <c r="B708" s="158">
        <f t="shared" si="1063"/>
        <v>44608</v>
      </c>
      <c r="C708" s="61"/>
      <c r="D708" s="17">
        <v>114668</v>
      </c>
      <c r="E708" s="16"/>
      <c r="F708" s="16"/>
      <c r="G708" s="16"/>
      <c r="H708" s="16">
        <f t="shared" ref="H708" si="1164">+H707+D708</f>
        <v>70302300</v>
      </c>
      <c r="I708" s="16"/>
      <c r="J708" s="436">
        <f t="shared" ref="J708" si="1165">+D708/H707</f>
        <v>1.6337351287189744E-3</v>
      </c>
      <c r="K708" s="16"/>
      <c r="L708" s="16"/>
      <c r="M708" s="16"/>
      <c r="N708" s="16">
        <f t="shared" ref="N708" si="1166">SUM(D702:D708)</f>
        <v>713163</v>
      </c>
      <c r="O708" s="16">
        <f t="shared" ref="O708" si="1167">+H708/BW708</f>
        <v>100575.5364806867</v>
      </c>
      <c r="P708" s="41"/>
      <c r="Q708" s="17">
        <f t="shared" ref="Q708" si="1168">SUM(D702:D708)</f>
        <v>713163</v>
      </c>
      <c r="R708" s="16"/>
      <c r="S708" s="60">
        <f t="shared" ref="S708" si="1169">+(Q708-Q701)/Q701</f>
        <v>-0.44084417152516647</v>
      </c>
      <c r="T708" s="16"/>
      <c r="U708" s="41"/>
      <c r="V708" s="10">
        <f t="shared" si="558"/>
        <v>600</v>
      </c>
      <c r="W708" s="34">
        <v>2802</v>
      </c>
      <c r="X708" s="33">
        <v>4256</v>
      </c>
      <c r="Y708" s="33"/>
      <c r="Z708" s="33">
        <f t="shared" ref="Z708" si="1170">SUM(W703:W708)</f>
        <v>9231</v>
      </c>
      <c r="AA708" s="33">
        <f t="shared" ref="AA708" si="1171">+AA707+W708</f>
        <v>847355</v>
      </c>
      <c r="AB708" s="33"/>
      <c r="AC708" s="46">
        <f t="shared" ref="AC708" si="1172">+AA708/H708</f>
        <v>1.2053019602488111E-2</v>
      </c>
      <c r="AD708" s="33"/>
      <c r="AE708" s="33">
        <f t="shared" ref="AE708" si="1173">+AA708/BW708</f>
        <v>1212.238912732475</v>
      </c>
      <c r="AF708" s="50"/>
      <c r="AG708" s="33"/>
      <c r="AH708" s="33"/>
      <c r="AI708" s="213"/>
      <c r="AJ708" s="50"/>
      <c r="AL708" s="23">
        <f t="shared" ref="AL708" si="1174">+AP708-AP707</f>
        <v>255973</v>
      </c>
      <c r="AM708" s="24"/>
      <c r="AN708" s="24"/>
      <c r="AO708" s="24">
        <v>178263</v>
      </c>
      <c r="AP708" s="24">
        <v>50821020</v>
      </c>
      <c r="AQ708" s="24">
        <v>20336656</v>
      </c>
      <c r="AR708" s="461">
        <f t="shared" ref="AR708" si="1175">+AL708/AP707</f>
        <v>5.0622517961864053E-3</v>
      </c>
      <c r="AS708" s="25"/>
      <c r="AT708" s="25"/>
      <c r="AU708" s="24"/>
      <c r="AV708" s="298">
        <f t="shared" ref="AV708" si="1176">+AP708/H708</f>
        <v>0.72289270763545432</v>
      </c>
      <c r="AW708" s="298"/>
      <c r="AX708" s="24">
        <f t="shared" ref="AX708" si="1177">+AP708/BW708</f>
        <v>72705.321888412014</v>
      </c>
      <c r="AY708" s="308"/>
      <c r="BA708" s="65">
        <f t="shared" ref="BA708" si="1178">+BC708-BC707</f>
        <v>1409493</v>
      </c>
      <c r="BB708" s="66"/>
      <c r="BC708" s="66">
        <v>934297674</v>
      </c>
      <c r="BD708" s="66"/>
      <c r="BE708" s="66">
        <f t="shared" ref="BE708" si="1179">+D708</f>
        <v>114668</v>
      </c>
      <c r="BF708" s="66"/>
      <c r="BG708" s="144">
        <f t="shared" ref="BG708" si="1180">+BE708/BA708</f>
        <v>8.1354075543475568E-2</v>
      </c>
      <c r="BH708" s="66"/>
      <c r="BI708" s="170"/>
      <c r="BJ708" s="66"/>
      <c r="BK708" s="66"/>
      <c r="BL708" s="66"/>
      <c r="BM708" s="144"/>
      <c r="BN708" s="65">
        <f t="shared" ref="BN708" si="1181">+BC708/BW708</f>
        <v>1336620.4206008583</v>
      </c>
      <c r="BO708" s="66"/>
      <c r="BP708" s="66">
        <f t="shared" ref="BP708" si="1182">+BP707+BE708</f>
        <v>69395322</v>
      </c>
      <c r="BQ708" s="66"/>
      <c r="BR708" s="435">
        <f t="shared" ref="BR708" si="1183">+BP708/BC708</f>
        <v>7.4275387739004481E-2</v>
      </c>
      <c r="BS708" s="66"/>
      <c r="BT708" s="75"/>
      <c r="BU708" s="170"/>
      <c r="BV708" s="1"/>
      <c r="BW708" s="61">
        <f t="shared" si="399"/>
        <v>699</v>
      </c>
      <c r="BZ708" s="1"/>
      <c r="CA708" s="61"/>
    </row>
    <row r="709" spans="2:79" x14ac:dyDescent="0.3">
      <c r="B709" s="158">
        <f t="shared" si="1063"/>
        <v>44609</v>
      </c>
      <c r="C709" s="61"/>
      <c r="D709" s="17">
        <v>103377</v>
      </c>
      <c r="E709" s="16"/>
      <c r="F709" s="16"/>
      <c r="G709" s="16"/>
      <c r="H709" s="16">
        <f t="shared" ref="H709" si="1184">+H708+D709</f>
        <v>70405677</v>
      </c>
      <c r="I709" s="16"/>
      <c r="J709" s="436">
        <f t="shared" ref="J709" si="1185">+D709/H708</f>
        <v>1.4704639819749852E-3</v>
      </c>
      <c r="K709" s="16"/>
      <c r="L709" s="16"/>
      <c r="M709" s="16"/>
      <c r="N709" s="16">
        <f t="shared" ref="N709" si="1186">SUM(D703:D709)</f>
        <v>637303</v>
      </c>
      <c r="O709" s="16">
        <f t="shared" ref="O709" si="1187">+H709/BW709</f>
        <v>100579.53857142857</v>
      </c>
      <c r="P709" s="41"/>
      <c r="Q709" s="17">
        <f t="shared" ref="Q709" si="1188">SUM(D703:D709)</f>
        <v>637303</v>
      </c>
      <c r="R709" s="16"/>
      <c r="S709" s="60">
        <f t="shared" ref="S709" si="1189">+(Q709-Q702)/Q702</f>
        <v>-0.46832533697736911</v>
      </c>
      <c r="T709" s="16"/>
      <c r="U709" s="41"/>
      <c r="V709" s="10">
        <f t="shared" si="558"/>
        <v>601</v>
      </c>
      <c r="W709" s="34">
        <v>2184</v>
      </c>
      <c r="X709" s="33">
        <v>4256</v>
      </c>
      <c r="Y709" s="33"/>
      <c r="Z709" s="33">
        <f t="shared" ref="Z709" si="1190">SUM(W704:W709)</f>
        <v>9498</v>
      </c>
      <c r="AA709" s="33">
        <f t="shared" ref="AA709" si="1191">+AA708+W709</f>
        <v>849539</v>
      </c>
      <c r="AB709" s="33"/>
      <c r="AC709" s="46">
        <f t="shared" ref="AC709" si="1192">+AA709/H709</f>
        <v>1.2066342320662579E-2</v>
      </c>
      <c r="AD709" s="33"/>
      <c r="AE709" s="33">
        <f t="shared" ref="AE709" si="1193">+AA709/BW709</f>
        <v>1213.6271428571429</v>
      </c>
      <c r="AF709" s="50"/>
      <c r="AG709" s="33"/>
      <c r="AH709" s="33"/>
      <c r="AI709" s="213"/>
      <c r="AJ709" s="50"/>
      <c r="AL709" s="23">
        <f t="shared" ref="AL709" si="1194">+AP709-AP708</f>
        <v>198295</v>
      </c>
      <c r="AM709" s="24"/>
      <c r="AN709" s="24"/>
      <c r="AO709" s="24">
        <v>178263</v>
      </c>
      <c r="AP709" s="24">
        <v>51019315</v>
      </c>
      <c r="AQ709" s="24">
        <v>20336656</v>
      </c>
      <c r="AR709" s="461">
        <f t="shared" ref="AR709" si="1195">+AL709/AP708</f>
        <v>3.901830384356709E-3</v>
      </c>
      <c r="AS709" s="25"/>
      <c r="AT709" s="25"/>
      <c r="AU709" s="24"/>
      <c r="AV709" s="298">
        <f t="shared" ref="AV709" si="1196">+AP709/H709</f>
        <v>0.72464774395962417</v>
      </c>
      <c r="AW709" s="298"/>
      <c r="AX709" s="24">
        <f t="shared" ref="AX709" si="1197">+AP709/BW709</f>
        <v>72884.735714285707</v>
      </c>
      <c r="AY709" s="308"/>
      <c r="BA709" s="65">
        <f t="shared" ref="BA709" si="1198">+BC709-BC708</f>
        <v>1582227</v>
      </c>
      <c r="BB709" s="66"/>
      <c r="BC709" s="66">
        <v>935879901</v>
      </c>
      <c r="BD709" s="66"/>
      <c r="BE709" s="66">
        <f t="shared" ref="BE709" si="1199">+D709</f>
        <v>103377</v>
      </c>
      <c r="BF709" s="66"/>
      <c r="BG709" s="144">
        <f t="shared" ref="BG709" si="1200">+BE709/BA709</f>
        <v>6.5336389784778043E-2</v>
      </c>
      <c r="BH709" s="66"/>
      <c r="BI709" s="170"/>
      <c r="BJ709" s="66"/>
      <c r="BK709" s="66"/>
      <c r="BL709" s="66"/>
      <c r="BM709" s="144"/>
      <c r="BN709" s="65">
        <f t="shared" ref="BN709" si="1201">+BC709/BW709</f>
        <v>1336971.2871428572</v>
      </c>
      <c r="BO709" s="66"/>
      <c r="BP709" s="66">
        <f t="shared" ref="BP709" si="1202">+BP708+BE709</f>
        <v>69498699</v>
      </c>
      <c r="BQ709" s="66"/>
      <c r="BR709" s="435">
        <f t="shared" ref="BR709" si="1203">+BP709/BC709</f>
        <v>7.4260275197426215E-2</v>
      </c>
      <c r="BS709" s="66"/>
      <c r="BT709" s="75"/>
      <c r="BU709" s="170"/>
      <c r="BV709" s="1"/>
      <c r="BW709" s="61">
        <f t="shared" si="399"/>
        <v>700</v>
      </c>
      <c r="BZ709" s="1"/>
      <c r="CA709" s="61"/>
    </row>
    <row r="710" spans="2:79" x14ac:dyDescent="0.3">
      <c r="B710" s="158">
        <f t="shared" si="1063"/>
        <v>44610</v>
      </c>
      <c r="C710" s="61"/>
      <c r="D710" s="17">
        <v>108480</v>
      </c>
      <c r="E710" s="16"/>
      <c r="F710" s="16"/>
      <c r="G710" s="16"/>
      <c r="H710" s="16">
        <f t="shared" ref="H710" si="1204">+H709+D710</f>
        <v>70514157</v>
      </c>
      <c r="I710" s="16"/>
      <c r="J710" s="436">
        <f t="shared" ref="J710" si="1205">+D710/H709</f>
        <v>1.540784843244956E-3</v>
      </c>
      <c r="K710" s="16"/>
      <c r="L710" s="16"/>
      <c r="M710" s="16"/>
      <c r="N710" s="16">
        <f t="shared" ref="N710" si="1206">SUM(D704:D710)</f>
        <v>596465</v>
      </c>
      <c r="O710" s="16">
        <f t="shared" ref="O710" si="1207">+H710/BW710</f>
        <v>100590.80884450785</v>
      </c>
      <c r="P710" s="41"/>
      <c r="Q710" s="17">
        <f t="shared" ref="Q710" si="1208">SUM(D704:D710)</f>
        <v>596465</v>
      </c>
      <c r="R710" s="16"/>
      <c r="S710" s="60">
        <f t="shared" ref="S710" si="1209">+(Q710-Q703)/Q703</f>
        <v>-0.42906493247925753</v>
      </c>
      <c r="T710" s="16"/>
      <c r="U710" s="41"/>
      <c r="V710" s="10">
        <f t="shared" si="558"/>
        <v>602</v>
      </c>
      <c r="W710" s="34">
        <v>2070</v>
      </c>
      <c r="X710" s="33">
        <v>4256</v>
      </c>
      <c r="Y710" s="33"/>
      <c r="Z710" s="33">
        <f t="shared" ref="Z710" si="1210">SUM(W705:W710)</f>
        <v>10695</v>
      </c>
      <c r="AA710" s="33">
        <f t="shared" ref="AA710" si="1211">+AA709+W710</f>
        <v>851609</v>
      </c>
      <c r="AB710" s="33"/>
      <c r="AC710" s="46">
        <f t="shared" ref="AC710" si="1212">+AA710/H710</f>
        <v>1.2077135092177305E-2</v>
      </c>
      <c r="AD710" s="33"/>
      <c r="AE710" s="33">
        <f t="shared" ref="AE710" si="1213">+AA710/BW710</f>
        <v>1214.848787446505</v>
      </c>
      <c r="AF710" s="50"/>
      <c r="AG710" s="33"/>
      <c r="AH710" s="33"/>
      <c r="AI710" s="213"/>
      <c r="AJ710" s="50"/>
      <c r="AL710" s="23">
        <f t="shared" ref="AL710" si="1214">+AP710-AP709</f>
        <v>397428</v>
      </c>
      <c r="AM710" s="24"/>
      <c r="AN710" s="24"/>
      <c r="AO710" s="24">
        <v>178263</v>
      </c>
      <c r="AP710" s="24">
        <v>51416743</v>
      </c>
      <c r="AQ710" s="24">
        <v>20336656</v>
      </c>
      <c r="AR710" s="461">
        <f t="shared" ref="AR710" si="1215">+AL710/AP709</f>
        <v>7.789755703305699E-3</v>
      </c>
      <c r="AS710" s="25"/>
      <c r="AT710" s="25"/>
      <c r="AU710" s="24"/>
      <c r="AV710" s="298">
        <f t="shared" ref="AV710" si="1216">+AP710/H710</f>
        <v>0.72916908018910298</v>
      </c>
      <c r="AW710" s="298"/>
      <c r="AX710" s="24">
        <f t="shared" ref="AX710" si="1217">+AP710/BW710</f>
        <v>73347.707560627678</v>
      </c>
      <c r="AY710" s="308"/>
      <c r="BA710" s="65">
        <f t="shared" ref="BA710" si="1218">+BC710-BC709</f>
        <v>1963474</v>
      </c>
      <c r="BB710" s="66"/>
      <c r="BC710" s="66">
        <v>937843375</v>
      </c>
      <c r="BD710" s="66"/>
      <c r="BE710" s="66">
        <f t="shared" ref="BE710" si="1219">+D710</f>
        <v>108480</v>
      </c>
      <c r="BF710" s="66"/>
      <c r="BG710" s="144">
        <f t="shared" ref="BG710" si="1220">+BE710/BA710</f>
        <v>5.5249012719292438E-2</v>
      </c>
      <c r="BH710" s="66"/>
      <c r="BI710" s="170"/>
      <c r="BJ710" s="66"/>
      <c r="BK710" s="66"/>
      <c r="BL710" s="66"/>
      <c r="BM710" s="144"/>
      <c r="BN710" s="65">
        <f t="shared" ref="BN710" si="1221">+BC710/BW710</f>
        <v>1337865.0142653352</v>
      </c>
      <c r="BO710" s="66"/>
      <c r="BP710" s="66">
        <f t="shared" ref="BP710" si="1222">+BP709+BE710</f>
        <v>69607179</v>
      </c>
      <c r="BQ710" s="66"/>
      <c r="BR710" s="435">
        <f t="shared" ref="BR710" si="1223">+BP710/BC710</f>
        <v>7.4220473114713845E-2</v>
      </c>
      <c r="BS710" s="66"/>
      <c r="BT710" s="75"/>
      <c r="BU710" s="170"/>
      <c r="BV710" s="1"/>
      <c r="BW710" s="61">
        <f t="shared" si="399"/>
        <v>701</v>
      </c>
      <c r="BZ710" s="1"/>
      <c r="CA710" s="61"/>
    </row>
    <row r="711" spans="2:79" x14ac:dyDescent="0.3">
      <c r="B711" s="158">
        <f t="shared" si="1063"/>
        <v>44611</v>
      </c>
      <c r="C711" s="61"/>
      <c r="D711" s="17">
        <v>41443</v>
      </c>
      <c r="E711" s="16"/>
      <c r="F711" s="16"/>
      <c r="G711" s="16"/>
      <c r="H711" s="16">
        <f t="shared" ref="H711" si="1224">+H710+D711</f>
        <v>70555600</v>
      </c>
      <c r="I711" s="16"/>
      <c r="J711" s="436">
        <f t="shared" ref="J711" si="1225">+D711/H710</f>
        <v>5.8772595125827006E-4</v>
      </c>
      <c r="K711" s="16"/>
      <c r="L711" s="16"/>
      <c r="M711" s="16"/>
      <c r="N711" s="16">
        <f t="shared" ref="N711" si="1226">SUM(D705:D711)</f>
        <v>578329</v>
      </c>
      <c r="O711" s="16">
        <f t="shared" ref="O711" si="1227">+H711/BW711</f>
        <v>100506.55270655271</v>
      </c>
      <c r="P711" s="41"/>
      <c r="Q711" s="17">
        <f t="shared" ref="Q711" si="1228">SUM(D705:D711)</f>
        <v>578329</v>
      </c>
      <c r="R711" s="16"/>
      <c r="S711" s="60">
        <f t="shared" ref="S711" si="1229">+(Q711-Q704)/Q704</f>
        <v>-0.42125024893097279</v>
      </c>
      <c r="T711" s="16"/>
      <c r="U711" s="41"/>
      <c r="V711" s="10">
        <f t="shared" si="558"/>
        <v>603</v>
      </c>
      <c r="W711" s="34">
        <v>715</v>
      </c>
      <c r="X711" s="33">
        <v>4256</v>
      </c>
      <c r="Y711" s="33"/>
      <c r="Z711" s="33">
        <f t="shared" ref="Z711" si="1230">SUM(W706:W711)</f>
        <v>10943</v>
      </c>
      <c r="AA711" s="33">
        <f t="shared" ref="AA711" si="1231">+AA710+W711</f>
        <v>852324</v>
      </c>
      <c r="AB711" s="33"/>
      <c r="AC711" s="46">
        <f t="shared" ref="AC711" si="1232">+AA711/H711</f>
        <v>1.2080175067606256E-2</v>
      </c>
      <c r="AD711" s="33"/>
      <c r="AE711" s="33">
        <f t="shared" ref="AE711" si="1233">+AA711/BW711</f>
        <v>1214.1367521367522</v>
      </c>
      <c r="AF711" s="50"/>
      <c r="AG711" s="33"/>
      <c r="AH711" s="33"/>
      <c r="AI711" s="213"/>
      <c r="AJ711" s="50"/>
      <c r="AL711" s="23">
        <f t="shared" ref="AL711" si="1234">+AP711-AP710</f>
        <v>128108</v>
      </c>
      <c r="AM711" s="24"/>
      <c r="AN711" s="24"/>
      <c r="AO711" s="24">
        <v>178263</v>
      </c>
      <c r="AP711" s="24">
        <v>51544851</v>
      </c>
      <c r="AQ711" s="24">
        <v>20336656</v>
      </c>
      <c r="AR711" s="461">
        <f t="shared" ref="AR711" si="1235">+AL711/AP710</f>
        <v>2.4915619412143627E-3</v>
      </c>
      <c r="AS711" s="25"/>
      <c r="AT711" s="25"/>
      <c r="AU711" s="24"/>
      <c r="AV711" s="298">
        <f t="shared" ref="AV711" si="1236">+AP711/H711</f>
        <v>0.73055648311402643</v>
      </c>
      <c r="AW711" s="298"/>
      <c r="AX711" s="24">
        <f t="shared" ref="AX711" si="1237">+AP711/BW711</f>
        <v>73425.713675213672</v>
      </c>
      <c r="AY711" s="308"/>
      <c r="BA711" s="65">
        <f t="shared" ref="BA711" si="1238">+BC711-BC710</f>
        <v>596804</v>
      </c>
      <c r="BB711" s="66"/>
      <c r="BC711" s="66">
        <v>938440179</v>
      </c>
      <c r="BD711" s="66"/>
      <c r="BE711" s="66">
        <f t="shared" ref="BE711" si="1239">+D711</f>
        <v>41443</v>
      </c>
      <c r="BF711" s="66"/>
      <c r="BG711" s="144">
        <f t="shared" ref="BG711" si="1240">+BE711/BA711</f>
        <v>6.9441558702689657E-2</v>
      </c>
      <c r="BH711" s="66"/>
      <c r="BI711" s="170"/>
      <c r="BJ711" s="66"/>
      <c r="BK711" s="66"/>
      <c r="BL711" s="66"/>
      <c r="BM711" s="144"/>
      <c r="BN711" s="65">
        <f t="shared" ref="BN711" si="1241">+BC711/BW711</f>
        <v>1336809.3717948718</v>
      </c>
      <c r="BO711" s="66"/>
      <c r="BP711" s="66">
        <f t="shared" ref="BP711" si="1242">+BP710+BE711</f>
        <v>69648622</v>
      </c>
      <c r="BQ711" s="66"/>
      <c r="BR711" s="435">
        <f t="shared" ref="BR711" si="1243">+BP711/BC711</f>
        <v>7.4217433948978437E-2</v>
      </c>
      <c r="BS711" s="66"/>
      <c r="BT711" s="75"/>
      <c r="BU711" s="170"/>
      <c r="BV711" s="1"/>
      <c r="BW711" s="61">
        <f t="shared" si="399"/>
        <v>702</v>
      </c>
      <c r="BZ711" s="1"/>
      <c r="CA711" s="61"/>
    </row>
    <row r="712" spans="2:79" x14ac:dyDescent="0.3">
      <c r="B712" s="347">
        <f t="shared" si="1063"/>
        <v>44612</v>
      </c>
      <c r="C712" s="61"/>
      <c r="D712" s="17">
        <v>15056</v>
      </c>
      <c r="E712" s="16"/>
      <c r="F712" s="16"/>
      <c r="G712" s="16"/>
      <c r="H712" s="16">
        <f t="shared" ref="H712" si="1244">+H711+D712</f>
        <v>70570656</v>
      </c>
      <c r="I712" s="16"/>
      <c r="J712" s="436">
        <f t="shared" ref="J712" si="1245">+D712/H711</f>
        <v>2.1339199156409979E-4</v>
      </c>
      <c r="K712" s="16"/>
      <c r="L712" s="16"/>
      <c r="M712" s="16"/>
      <c r="N712" s="16">
        <f t="shared" ref="N712" si="1246">SUM(D706:D712)</f>
        <v>561733</v>
      </c>
      <c r="O712" s="16">
        <f t="shared" ref="O712" si="1247">+H712/BW712</f>
        <v>100385.00142247511</v>
      </c>
      <c r="P712" s="41"/>
      <c r="Q712" s="17">
        <f t="shared" ref="Q712" si="1248">SUM(D706:D712)</f>
        <v>561733</v>
      </c>
      <c r="R712" s="16"/>
      <c r="S712" s="60">
        <f t="shared" ref="S712" si="1249">+(Q712-Q705)/Q705</f>
        <v>-0.42692820139275711</v>
      </c>
      <c r="T712" s="16"/>
      <c r="U712" s="41"/>
      <c r="V712" s="10">
        <f t="shared" si="558"/>
        <v>604</v>
      </c>
      <c r="W712" s="34">
        <v>282</v>
      </c>
      <c r="X712" s="33">
        <v>4256</v>
      </c>
      <c r="Y712" s="33"/>
      <c r="Z712" s="33">
        <f t="shared" ref="Z712" si="1250">SUM(W707:W712)</f>
        <v>10276</v>
      </c>
      <c r="AA712" s="33">
        <f t="shared" ref="AA712" si="1251">+AA711+W712</f>
        <v>852606</v>
      </c>
      <c r="AB712" s="33"/>
      <c r="AC712" s="46">
        <f t="shared" ref="AC712" si="1252">+AA712/H712</f>
        <v>1.2081593800119982E-2</v>
      </c>
      <c r="AD712" s="33"/>
      <c r="AE712" s="33">
        <f t="shared" ref="AE712" si="1253">+AA712/BW712</f>
        <v>1212.8108108108108</v>
      </c>
      <c r="AF712" s="50"/>
      <c r="AG712" s="33"/>
      <c r="AH712" s="33"/>
      <c r="AI712" s="213"/>
      <c r="AJ712" s="50"/>
      <c r="AL712" s="23">
        <f t="shared" ref="AL712" si="1254">+AP712-AP711</f>
        <v>129104</v>
      </c>
      <c r="AM712" s="24"/>
      <c r="AN712" s="24"/>
      <c r="AO712" s="24">
        <v>178263</v>
      </c>
      <c r="AP712" s="24">
        <v>51673955</v>
      </c>
      <c r="AQ712" s="24">
        <v>20336656</v>
      </c>
      <c r="AR712" s="461">
        <f t="shared" ref="AR712" si="1255">+AL712/AP711</f>
        <v>2.5046924667606468E-3</v>
      </c>
      <c r="AS712" s="25"/>
      <c r="AT712" s="25"/>
      <c r="AU712" s="24"/>
      <c r="AV712" s="298">
        <f t="shared" ref="AV712" si="1256">+AP712/H712</f>
        <v>0.73223005040508626</v>
      </c>
      <c r="AW712" s="298"/>
      <c r="AX712" s="24">
        <f t="shared" ref="AX712" si="1257">+AP712/BW712</f>
        <v>73504.9146514936</v>
      </c>
      <c r="AY712" s="308"/>
      <c r="BA712" s="65">
        <f t="shared" ref="BA712" si="1258">+BC712-BC711</f>
        <v>271012</v>
      </c>
      <c r="BB712" s="66"/>
      <c r="BC712" s="66">
        <v>938711191</v>
      </c>
      <c r="BD712" s="66"/>
      <c r="BE712" s="66">
        <f t="shared" ref="BE712" si="1259">+D712</f>
        <v>15056</v>
      </c>
      <c r="BF712" s="66"/>
      <c r="BG712" s="144">
        <f t="shared" ref="BG712" si="1260">+BE712/BA712</f>
        <v>5.5554735583664194E-2</v>
      </c>
      <c r="BH712" s="66"/>
      <c r="BI712" s="170"/>
      <c r="BJ712" s="66"/>
      <c r="BK712" s="66"/>
      <c r="BL712" s="66"/>
      <c r="BM712" s="144"/>
      <c r="BN712" s="65">
        <f t="shared" ref="BN712" si="1261">+BC712/BW712</f>
        <v>1335293.3015647226</v>
      </c>
      <c r="BO712" s="66"/>
      <c r="BP712" s="66">
        <f t="shared" ref="BP712" si="1262">+BP711+BE712</f>
        <v>69663678</v>
      </c>
      <c r="BQ712" s="66"/>
      <c r="BR712" s="435">
        <f t="shared" ref="BR712" si="1263">+BP712/BC712</f>
        <v>7.4212045907099455E-2</v>
      </c>
      <c r="BS712" s="66"/>
      <c r="BT712" s="75"/>
      <c r="BU712" s="170"/>
      <c r="BV712" s="1"/>
      <c r="BW712" s="61">
        <f t="shared" si="399"/>
        <v>703</v>
      </c>
      <c r="BZ712" s="1"/>
      <c r="CA712" s="61"/>
    </row>
    <row r="713" spans="2:79" x14ac:dyDescent="0.3">
      <c r="B713" s="158">
        <f t="shared" si="1063"/>
        <v>44613</v>
      </c>
      <c r="C713" s="61"/>
      <c r="D713" s="17">
        <v>27798</v>
      </c>
      <c r="E713" s="16"/>
      <c r="F713" s="16"/>
      <c r="G713" s="16"/>
      <c r="H713" s="16">
        <f t="shared" ref="H713" si="1264">+H712+D713</f>
        <v>70598454</v>
      </c>
      <c r="I713" s="16"/>
      <c r="J713" s="436">
        <f t="shared" ref="J713" si="1265">+D713/H712</f>
        <v>3.9390309762743313E-4</v>
      </c>
      <c r="K713" s="16"/>
      <c r="L713" s="16"/>
      <c r="M713" s="16"/>
      <c r="N713" s="16">
        <f t="shared" ref="N713" si="1266">SUM(D707:D713)</f>
        <v>508689</v>
      </c>
      <c r="O713" s="16">
        <f t="shared" ref="O713" si="1267">+H713/BW713</f>
        <v>100281.89488636363</v>
      </c>
      <c r="P713" s="41"/>
      <c r="Q713" s="17">
        <f t="shared" ref="Q713" si="1268">SUM(D707:D713)</f>
        <v>508689</v>
      </c>
      <c r="R713" s="16"/>
      <c r="S713" s="60">
        <f t="shared" ref="S713" si="1269">+(Q713-Q706)/Q706</f>
        <v>-0.43930978611305532</v>
      </c>
      <c r="T713" s="16"/>
      <c r="U713" s="41"/>
      <c r="V713" s="10">
        <f t="shared" si="558"/>
        <v>605</v>
      </c>
      <c r="W713" s="34">
        <v>294</v>
      </c>
      <c r="X713" s="33">
        <v>4256</v>
      </c>
      <c r="Y713" s="33"/>
      <c r="Z713" s="33">
        <f t="shared" ref="Z713" si="1270">SUM(W708:W713)</f>
        <v>8347</v>
      </c>
      <c r="AA713" s="33">
        <f t="shared" ref="AA713" si="1271">+AA712+W713</f>
        <v>852900</v>
      </c>
      <c r="AB713" s="33"/>
      <c r="AC713" s="46">
        <f t="shared" ref="AC713" si="1272">+AA713/H713</f>
        <v>1.2081001093876645E-2</v>
      </c>
      <c r="AD713" s="33"/>
      <c r="AE713" s="33">
        <f t="shared" ref="AE713" si="1273">+AA713/BW713</f>
        <v>1211.5056818181818</v>
      </c>
      <c r="AF713" s="50"/>
      <c r="AG713" s="33"/>
      <c r="AH713" s="33"/>
      <c r="AI713" s="213"/>
      <c r="AJ713" s="50"/>
      <c r="AL713" s="23">
        <f t="shared" ref="AL713" si="1274">+AP713-AP712</f>
        <v>255289</v>
      </c>
      <c r="AM713" s="24"/>
      <c r="AN713" s="24"/>
      <c r="AO713" s="24">
        <v>178263</v>
      </c>
      <c r="AP713" s="24">
        <v>51929244</v>
      </c>
      <c r="AQ713" s="24">
        <v>20336656</v>
      </c>
      <c r="AR713" s="461">
        <f t="shared" ref="AR713" si="1275">+AL713/AP712</f>
        <v>4.9403805069691302E-3</v>
      </c>
      <c r="AS713" s="25"/>
      <c r="AT713" s="25"/>
      <c r="AU713" s="24"/>
      <c r="AV713" s="298">
        <f t="shared" ref="AV713" si="1276">+AP713/H713</f>
        <v>0.73555780697407336</v>
      </c>
      <c r="AW713" s="298"/>
      <c r="AX713" s="24">
        <f t="shared" ref="AX713" si="1277">+AP713/BW713</f>
        <v>73763.130681818177</v>
      </c>
      <c r="AY713" s="308"/>
      <c r="BA713" s="65">
        <f t="shared" ref="BA713" si="1278">+BC713-BC712</f>
        <v>801897</v>
      </c>
      <c r="BB713" s="66"/>
      <c r="BC713" s="66">
        <v>939513088</v>
      </c>
      <c r="BD713" s="66"/>
      <c r="BE713" s="66">
        <f t="shared" ref="BE713" si="1279">+D713</f>
        <v>27798</v>
      </c>
      <c r="BF713" s="66"/>
      <c r="BG713" s="144">
        <f t="shared" ref="BG713" si="1280">+BE713/BA713</f>
        <v>3.4665299907594115E-2</v>
      </c>
      <c r="BH713" s="66"/>
      <c r="BI713" s="170"/>
      <c r="BJ713" s="66"/>
      <c r="BK713" s="66"/>
      <c r="BL713" s="66"/>
      <c r="BM713" s="144"/>
      <c r="BN713" s="65">
        <f t="shared" ref="BN713" si="1281">+BC713/BW713</f>
        <v>1334535.6363636365</v>
      </c>
      <c r="BO713" s="66"/>
      <c r="BP713" s="66">
        <f t="shared" ref="BP713" si="1282">+BP712+BE713</f>
        <v>69691476</v>
      </c>
      <c r="BQ713" s="66"/>
      <c r="BR713" s="435">
        <f t="shared" ref="BR713" si="1283">+BP713/BC713</f>
        <v>7.417829180895881E-2</v>
      </c>
      <c r="BS713" s="66"/>
      <c r="BT713" s="75"/>
      <c r="BU713" s="170"/>
      <c r="BV713" s="1"/>
      <c r="BW713" s="61">
        <f t="shared" si="399"/>
        <v>704</v>
      </c>
      <c r="BZ713" s="1"/>
      <c r="CA713" s="61"/>
    </row>
    <row r="714" spans="2:79" x14ac:dyDescent="0.3">
      <c r="B714" s="158">
        <f t="shared" si="1063"/>
        <v>44614</v>
      </c>
      <c r="C714" s="61"/>
      <c r="D714" s="17">
        <v>61863</v>
      </c>
      <c r="E714" s="16"/>
      <c r="F714" s="16"/>
      <c r="G714" s="16"/>
      <c r="H714" s="16">
        <f t="shared" ref="H714" si="1284">+H713+D714</f>
        <v>70660317</v>
      </c>
      <c r="I714" s="16"/>
      <c r="J714" s="436">
        <f t="shared" ref="J714" si="1285">+D714/H713</f>
        <v>8.762656474035536E-4</v>
      </c>
      <c r="K714" s="16"/>
      <c r="L714" s="16"/>
      <c r="M714" s="16"/>
      <c r="N714" s="16">
        <f t="shared" ref="N714" si="1286">SUM(D708:D714)</f>
        <v>472685</v>
      </c>
      <c r="O714" s="16">
        <f t="shared" ref="O714" si="1287">+H714/BW714</f>
        <v>100227.4</v>
      </c>
      <c r="P714" s="41"/>
      <c r="Q714" s="17">
        <f t="shared" ref="Q714" si="1288">SUM(D708:D714)</f>
        <v>472685</v>
      </c>
      <c r="R714" s="16"/>
      <c r="S714" s="60">
        <f t="shared" ref="S714" si="1289">+(Q714-Q707)/Q707</f>
        <v>-0.42770956700926083</v>
      </c>
      <c r="T714" s="16"/>
      <c r="U714" s="41"/>
      <c r="V714" s="10">
        <f t="shared" si="558"/>
        <v>606</v>
      </c>
      <c r="W714" s="34">
        <v>1558</v>
      </c>
      <c r="X714" s="33">
        <v>4256</v>
      </c>
      <c r="Y714" s="33"/>
      <c r="Z714" s="33">
        <f t="shared" ref="Z714" si="1290">SUM(W709:W714)</f>
        <v>7103</v>
      </c>
      <c r="AA714" s="33">
        <f t="shared" ref="AA714" si="1291">+AA713+W714</f>
        <v>854458</v>
      </c>
      <c r="AB714" s="33"/>
      <c r="AC714" s="46">
        <f t="shared" ref="AC714" si="1292">+AA714/H714</f>
        <v>1.2092473346815017E-2</v>
      </c>
      <c r="AD714" s="33"/>
      <c r="AE714" s="33">
        <f t="shared" ref="AE714" si="1293">+AA714/BW714</f>
        <v>1211.9971631205674</v>
      </c>
      <c r="AF714" s="50"/>
      <c r="AG714" s="33"/>
      <c r="AH714" s="33"/>
      <c r="AI714" s="213"/>
      <c r="AJ714" s="50"/>
      <c r="AL714" s="23">
        <f t="shared" ref="AL714" si="1294">+AP714-AP713</f>
        <v>270585</v>
      </c>
      <c r="AM714" s="24"/>
      <c r="AN714" s="24"/>
      <c r="AO714" s="24">
        <v>178263</v>
      </c>
      <c r="AP714" s="24">
        <v>52199829</v>
      </c>
      <c r="AQ714" s="24">
        <v>20336656</v>
      </c>
      <c r="AR714" s="461">
        <f t="shared" ref="AR714" si="1295">+AL714/AP713</f>
        <v>5.2106477806609314E-3</v>
      </c>
      <c r="AS714" s="25"/>
      <c r="AT714" s="25"/>
      <c r="AU714" s="24"/>
      <c r="AV714" s="298">
        <f t="shared" ref="AV714" si="1296">+AP714/H714</f>
        <v>0.7387432043363179</v>
      </c>
      <c r="AW714" s="298"/>
      <c r="AX714" s="24">
        <f t="shared" ref="AX714" si="1297">+AP714/BW714</f>
        <v>74042.310638297873</v>
      </c>
      <c r="AY714" s="308"/>
      <c r="BA714" s="65">
        <f t="shared" ref="BA714" si="1298">+BC714-BC713</f>
        <v>3304692</v>
      </c>
      <c r="BB714" s="66"/>
      <c r="BC714" s="66">
        <v>942817780</v>
      </c>
      <c r="BD714" s="66"/>
      <c r="BE714" s="66">
        <f t="shared" ref="BE714" si="1299">+D714</f>
        <v>61863</v>
      </c>
      <c r="BF714" s="66"/>
      <c r="BG714" s="144">
        <f t="shared" ref="BG714" si="1300">+BE714/BA714</f>
        <v>1.8719747558925311E-2</v>
      </c>
      <c r="BH714" s="66"/>
      <c r="BI714" s="170"/>
      <c r="BJ714" s="66"/>
      <c r="BK714" s="66"/>
      <c r="BL714" s="66"/>
      <c r="BM714" s="144"/>
      <c r="BN714" s="65">
        <f t="shared" ref="BN714" si="1301">+BC714/BW714</f>
        <v>1337330.1843971631</v>
      </c>
      <c r="BO714" s="66"/>
      <c r="BP714" s="66">
        <f t="shared" ref="BP714" si="1302">+BP713+BE714</f>
        <v>69753339</v>
      </c>
      <c r="BQ714" s="66"/>
      <c r="BR714" s="435">
        <f t="shared" ref="BR714" si="1303">+BP714/BC714</f>
        <v>7.3983902806754445E-2</v>
      </c>
      <c r="BS714" s="66"/>
      <c r="BT714" s="75"/>
      <c r="BU714" s="170"/>
      <c r="BV714" s="1"/>
      <c r="BW714" s="61">
        <f t="shared" si="399"/>
        <v>705</v>
      </c>
      <c r="BZ714" s="1"/>
      <c r="CA714" s="61"/>
    </row>
    <row r="715" spans="2:79" x14ac:dyDescent="0.3">
      <c r="B715" s="158">
        <f t="shared" si="1063"/>
        <v>44615</v>
      </c>
      <c r="C715" s="61"/>
      <c r="D715" s="17">
        <v>75300</v>
      </c>
      <c r="E715" s="16"/>
      <c r="F715" s="16"/>
      <c r="G715" s="16"/>
      <c r="H715" s="16">
        <f t="shared" ref="H715" si="1304">+H714+D715</f>
        <v>70735617</v>
      </c>
      <c r="I715" s="16"/>
      <c r="J715" s="436">
        <f t="shared" ref="J715" si="1305">+D715/H714</f>
        <v>1.0656617914691778E-3</v>
      </c>
      <c r="K715" s="16"/>
      <c r="L715" s="16"/>
      <c r="M715" s="16"/>
      <c r="N715" s="16">
        <f t="shared" ref="N715" si="1306">SUM(D709:D715)</f>
        <v>433317</v>
      </c>
      <c r="O715" s="16">
        <f t="shared" ref="O715" si="1307">+H715/BW715</f>
        <v>100192.09206798866</v>
      </c>
      <c r="P715" s="41"/>
      <c r="Q715" s="17">
        <f t="shared" ref="Q715" si="1308">SUM(D709:D715)</f>
        <v>433317</v>
      </c>
      <c r="R715" s="16"/>
      <c r="S715" s="60">
        <f t="shared" ref="S715" si="1309">+(Q715-Q708)/Q708</f>
        <v>-0.39240117616870196</v>
      </c>
      <c r="T715" s="16"/>
      <c r="U715" s="41"/>
      <c r="V715" s="10">
        <f t="shared" si="558"/>
        <v>607</v>
      </c>
      <c r="W715" s="34">
        <v>2440</v>
      </c>
      <c r="X715" s="33">
        <v>4256</v>
      </c>
      <c r="Y715" s="33"/>
      <c r="Z715" s="33">
        <f t="shared" ref="Z715" si="1310">SUM(W710:W715)</f>
        <v>7359</v>
      </c>
      <c r="AA715" s="33">
        <f t="shared" ref="AA715" si="1311">+AA714+W715</f>
        <v>856898</v>
      </c>
      <c r="AB715" s="33"/>
      <c r="AC715" s="46">
        <f t="shared" ref="AC715" si="1312">+AA715/H715</f>
        <v>1.2114095223061389E-2</v>
      </c>
      <c r="AD715" s="33"/>
      <c r="AE715" s="33">
        <f t="shared" ref="AE715" si="1313">+AA715/BW715</f>
        <v>1213.7365439093485</v>
      </c>
      <c r="AF715" s="50"/>
      <c r="AG715" s="33"/>
      <c r="AH715" s="33"/>
      <c r="AI715" s="213"/>
      <c r="AJ715" s="50"/>
      <c r="AL715" s="23">
        <f t="shared" ref="AL715" si="1314">+AP715-AP714</f>
        <v>253733</v>
      </c>
      <c r="AM715" s="24"/>
      <c r="AN715" s="24"/>
      <c r="AO715" s="24">
        <v>178263</v>
      </c>
      <c r="AP715" s="24">
        <v>52453562</v>
      </c>
      <c r="AQ715" s="24">
        <v>20336656</v>
      </c>
      <c r="AR715" s="461">
        <f t="shared" ref="AR715" si="1315">+AL715/AP714</f>
        <v>4.8608013639278398E-3</v>
      </c>
      <c r="AS715" s="25"/>
      <c r="AT715" s="25"/>
      <c r="AU715" s="24"/>
      <c r="AV715" s="298">
        <f t="shared" ref="AV715" si="1316">+AP715/H715</f>
        <v>0.74154385336032347</v>
      </c>
      <c r="AW715" s="298"/>
      <c r="AX715" s="24">
        <f t="shared" ref="AX715" si="1317">+AP715/BW715</f>
        <v>74296.830028328608</v>
      </c>
      <c r="AY715" s="308"/>
      <c r="BA715" s="65">
        <f t="shared" ref="BA715" si="1318">+BC715-BC714</f>
        <v>1308978</v>
      </c>
      <c r="BB715" s="66"/>
      <c r="BC715" s="66">
        <v>944126758</v>
      </c>
      <c r="BD715" s="66"/>
      <c r="BE715" s="66">
        <f t="shared" ref="BE715" si="1319">+D715</f>
        <v>75300</v>
      </c>
      <c r="BF715" s="66"/>
      <c r="BG715" s="144">
        <f t="shared" ref="BG715" si="1320">+BE715/BA715</f>
        <v>5.7525794933146315E-2</v>
      </c>
      <c r="BH715" s="66"/>
      <c r="BI715" s="170"/>
      <c r="BJ715" s="66"/>
      <c r="BK715" s="66"/>
      <c r="BL715" s="66"/>
      <c r="BM715" s="144"/>
      <c r="BN715" s="65">
        <f t="shared" ref="BN715" si="1321">+BC715/BW715</f>
        <v>1337290.0254957506</v>
      </c>
      <c r="BO715" s="66"/>
      <c r="BP715" s="66">
        <f t="shared" ref="BP715" si="1322">+BP714+BE715</f>
        <v>69828639</v>
      </c>
      <c r="BQ715" s="66"/>
      <c r="BR715" s="435">
        <f t="shared" ref="BR715" si="1323">+BP715/BC715</f>
        <v>7.3961084577162259E-2</v>
      </c>
      <c r="BS715" s="66"/>
      <c r="BT715" s="75"/>
      <c r="BU715" s="170"/>
      <c r="BV715" s="1"/>
      <c r="BW715" s="61">
        <f t="shared" si="399"/>
        <v>706</v>
      </c>
      <c r="BZ715" s="1"/>
      <c r="CA715" s="61"/>
    </row>
    <row r="716" spans="2:79" x14ac:dyDescent="0.3">
      <c r="B716" s="158">
        <f t="shared" si="1063"/>
        <v>44616</v>
      </c>
      <c r="C716" s="61"/>
      <c r="D716" s="17">
        <v>70885</v>
      </c>
      <c r="E716" s="16"/>
      <c r="F716" s="16"/>
      <c r="G716" s="16"/>
      <c r="H716" s="16">
        <f t="shared" ref="H716" si="1324">+H715+D716</f>
        <v>70806502</v>
      </c>
      <c r="I716" s="16"/>
      <c r="J716" s="436">
        <f t="shared" ref="J716" si="1325">+D716/H715</f>
        <v>1.0021118498195895E-3</v>
      </c>
      <c r="K716" s="16"/>
      <c r="L716" s="16"/>
      <c r="M716" s="16"/>
      <c r="N716" s="16">
        <f t="shared" ref="N716" si="1326">SUM(D710:D716)</f>
        <v>400825</v>
      </c>
      <c r="O716" s="16">
        <f t="shared" ref="O716" si="1327">+H716/BW716</f>
        <v>100150.63932107497</v>
      </c>
      <c r="P716" s="41"/>
      <c r="Q716" s="17">
        <f t="shared" ref="Q716" si="1328">SUM(D710:D716)</f>
        <v>400825</v>
      </c>
      <c r="R716" s="16"/>
      <c r="S716" s="60">
        <f t="shared" ref="S716" si="1329">+(Q716-Q709)/Q709</f>
        <v>-0.37106054733776556</v>
      </c>
      <c r="T716" s="16"/>
      <c r="U716" s="41"/>
      <c r="V716" s="10">
        <f t="shared" si="558"/>
        <v>608</v>
      </c>
      <c r="W716" s="34">
        <v>1823</v>
      </c>
      <c r="X716" s="33">
        <v>4256</v>
      </c>
      <c r="Y716" s="33"/>
      <c r="Z716" s="33">
        <f t="shared" ref="Z716" si="1330">SUM(W711:W716)</f>
        <v>7112</v>
      </c>
      <c r="AA716" s="33">
        <f t="shared" ref="AA716" si="1331">+AA715+W716</f>
        <v>858721</v>
      </c>
      <c r="AB716" s="33"/>
      <c r="AC716" s="46">
        <f t="shared" ref="AC716" si="1332">+AA716/H716</f>
        <v>1.2127713920961665E-2</v>
      </c>
      <c r="AD716" s="33"/>
      <c r="AE716" s="33">
        <f t="shared" ref="AE716" si="1333">+AA716/BW716</f>
        <v>1214.5983026874117</v>
      </c>
      <c r="AF716" s="50"/>
      <c r="AG716" s="33"/>
      <c r="AH716" s="33"/>
      <c r="AI716" s="213"/>
      <c r="AJ716" s="50"/>
      <c r="AL716" s="23">
        <f t="shared" ref="AL716" si="1334">+AP716-AP715</f>
        <v>209108</v>
      </c>
      <c r="AM716" s="24"/>
      <c r="AN716" s="24"/>
      <c r="AO716" s="24">
        <v>178263</v>
      </c>
      <c r="AP716" s="24">
        <v>52662670</v>
      </c>
      <c r="AQ716" s="24">
        <v>20336656</v>
      </c>
      <c r="AR716" s="461">
        <f t="shared" ref="AR716" si="1335">+AL716/AP715</f>
        <v>3.986535747562768E-3</v>
      </c>
      <c r="AS716" s="25"/>
      <c r="AT716" s="25"/>
      <c r="AU716" s="24"/>
      <c r="AV716" s="298">
        <f t="shared" ref="AV716" si="1336">+AP716/H716</f>
        <v>0.74375471902283774</v>
      </c>
      <c r="AW716" s="298"/>
      <c r="AX716" s="24">
        <f t="shared" ref="AX716" si="1337">+AP716/BW716</f>
        <v>74487.51060820368</v>
      </c>
      <c r="AY716" s="308"/>
      <c r="BA716" s="65">
        <f t="shared" ref="BA716" si="1338">+BC716-BC715</f>
        <v>1292265</v>
      </c>
      <c r="BB716" s="66"/>
      <c r="BC716" s="66">
        <v>945419023</v>
      </c>
      <c r="BD716" s="66"/>
      <c r="BE716" s="66">
        <f t="shared" ref="BE716" si="1339">+D716</f>
        <v>70885</v>
      </c>
      <c r="BF716" s="66"/>
      <c r="BG716" s="144">
        <f t="shared" ref="BG716" si="1340">+BE716/BA716</f>
        <v>5.4853300213191569E-2</v>
      </c>
      <c r="BH716" s="66"/>
      <c r="BI716" s="170"/>
      <c r="BJ716" s="66"/>
      <c r="BK716" s="66"/>
      <c r="BL716" s="66"/>
      <c r="BM716" s="144"/>
      <c r="BN716" s="65">
        <f t="shared" ref="BN716" si="1341">+BC716/BW716</f>
        <v>1337226.3408769448</v>
      </c>
      <c r="BO716" s="66"/>
      <c r="BP716" s="66">
        <f t="shared" ref="BP716" si="1342">+BP715+BE716</f>
        <v>69899524</v>
      </c>
      <c r="BQ716" s="66"/>
      <c r="BR716" s="435">
        <f t="shared" ref="BR716" si="1343">+BP716/BC716</f>
        <v>7.3934966717926931E-2</v>
      </c>
      <c r="BS716" s="66"/>
      <c r="BT716" s="75"/>
      <c r="BU716" s="170"/>
      <c r="BV716" s="1"/>
      <c r="BW716" s="61">
        <f t="shared" si="399"/>
        <v>707</v>
      </c>
      <c r="BZ716" s="1"/>
      <c r="CA716" s="61"/>
    </row>
    <row r="717" spans="2:79" x14ac:dyDescent="0.3">
      <c r="B717" s="158">
        <f t="shared" si="1063"/>
        <v>44617</v>
      </c>
      <c r="C717" s="61"/>
      <c r="D717" s="17">
        <v>76258</v>
      </c>
      <c r="E717" s="16"/>
      <c r="F717" s="16"/>
      <c r="G717" s="16"/>
      <c r="H717" s="16">
        <f t="shared" ref="H717" si="1344">+H716+D717</f>
        <v>70882760</v>
      </c>
      <c r="I717" s="16"/>
      <c r="J717" s="436">
        <f t="shared" ref="J717" si="1345">+D717/H716</f>
        <v>1.0769914887194963E-3</v>
      </c>
      <c r="K717" s="16"/>
      <c r="L717" s="16"/>
      <c r="M717" s="16"/>
      <c r="N717" s="16">
        <f t="shared" ref="N717" si="1346">SUM(D711:D717)</f>
        <v>368603</v>
      </c>
      <c r="O717" s="16">
        <f t="shared" ref="O717" si="1347">+H717/BW717</f>
        <v>100116.89265536724</v>
      </c>
      <c r="P717" s="41"/>
      <c r="Q717" s="17">
        <f t="shared" ref="Q717" si="1348">SUM(D711:D717)</f>
        <v>368603</v>
      </c>
      <c r="R717" s="16"/>
      <c r="S717" s="60">
        <f t="shared" ref="S717" si="1349">+(Q717-Q710)/Q710</f>
        <v>-0.38202073885307603</v>
      </c>
      <c r="T717" s="16"/>
      <c r="U717" s="41"/>
      <c r="V717" s="10">
        <f t="shared" si="558"/>
        <v>609</v>
      </c>
      <c r="W717" s="34">
        <v>1853</v>
      </c>
      <c r="X717" s="33">
        <v>4256</v>
      </c>
      <c r="Y717" s="33"/>
      <c r="Z717" s="33">
        <f t="shared" ref="Z717" si="1350">SUM(W712:W717)</f>
        <v>8250</v>
      </c>
      <c r="AA717" s="33">
        <f t="shared" ref="AA717" si="1351">+AA716+W717</f>
        <v>860574</v>
      </c>
      <c r="AB717" s="33"/>
      <c r="AC717" s="46">
        <f t="shared" ref="AC717" si="1352">+AA717/H717</f>
        <v>1.2140808286810502E-2</v>
      </c>
      <c r="AD717" s="33"/>
      <c r="AE717" s="33">
        <f t="shared" ref="AE717" si="1353">+AA717/BW717</f>
        <v>1215.5</v>
      </c>
      <c r="AF717" s="50"/>
      <c r="AG717" s="33"/>
      <c r="AH717" s="33"/>
      <c r="AI717" s="213"/>
      <c r="AJ717" s="50"/>
      <c r="AL717" s="23">
        <f t="shared" ref="AL717" si="1354">+AP717-AP716</f>
        <v>203580</v>
      </c>
      <c r="AM717" s="24"/>
      <c r="AN717" s="24"/>
      <c r="AO717" s="24">
        <v>178263</v>
      </c>
      <c r="AP717" s="24">
        <v>52866250</v>
      </c>
      <c r="AQ717" s="24">
        <v>20336656</v>
      </c>
      <c r="AR717" s="461">
        <f t="shared" ref="AR717" si="1355">+AL717/AP716</f>
        <v>3.8657363935402441E-3</v>
      </c>
      <c r="AS717" s="25"/>
      <c r="AT717" s="25"/>
      <c r="AU717" s="24"/>
      <c r="AV717" s="298">
        <f t="shared" ref="AV717" si="1356">+AP717/H717</f>
        <v>0.74582662977570291</v>
      </c>
      <c r="AW717" s="298"/>
      <c r="AX717" s="24">
        <f t="shared" ref="AX717" si="1357">+AP717/BW717</f>
        <v>74669.844632768363</v>
      </c>
      <c r="AY717" s="308"/>
      <c r="BA717" s="65">
        <f t="shared" ref="BA717" si="1358">+BC717-BC716</f>
        <v>1712369</v>
      </c>
      <c r="BB717" s="66"/>
      <c r="BC717" s="66">
        <v>947131392</v>
      </c>
      <c r="BD717" s="66"/>
      <c r="BE717" s="66">
        <f t="shared" ref="BE717" si="1359">+D717</f>
        <v>76258</v>
      </c>
      <c r="BF717" s="66"/>
      <c r="BG717" s="144">
        <f t="shared" ref="BG717" si="1360">+BE717/BA717</f>
        <v>4.4533625637932013E-2</v>
      </c>
      <c r="BH717" s="66"/>
      <c r="BI717" s="170"/>
      <c r="BJ717" s="66"/>
      <c r="BK717" s="66"/>
      <c r="BL717" s="66"/>
      <c r="BM717" s="144"/>
      <c r="BN717" s="65">
        <f t="shared" ref="BN717" si="1361">+BC717/BW717</f>
        <v>1337756.2033898304</v>
      </c>
      <c r="BO717" s="66"/>
      <c r="BP717" s="66">
        <f t="shared" ref="BP717" si="1362">+BP716+BE717</f>
        <v>69975782</v>
      </c>
      <c r="BQ717" s="66"/>
      <c r="BR717" s="435">
        <f t="shared" ref="BR717" si="1363">+BP717/BC717</f>
        <v>7.3881810476407475E-2</v>
      </c>
      <c r="BS717" s="66"/>
      <c r="BT717" s="75"/>
      <c r="BU717" s="170"/>
      <c r="BV717" s="1"/>
      <c r="BW717" s="61">
        <f t="shared" si="399"/>
        <v>708</v>
      </c>
      <c r="BZ717" s="1"/>
      <c r="CA717" s="61"/>
    </row>
    <row r="718" spans="2:79" x14ac:dyDescent="0.3">
      <c r="B718" s="158">
        <f t="shared" si="1063"/>
        <v>44618</v>
      </c>
      <c r="C718" s="61"/>
      <c r="D718" s="17">
        <v>26003</v>
      </c>
      <c r="E718" s="16"/>
      <c r="F718" s="16"/>
      <c r="G718" s="16"/>
      <c r="H718" s="16">
        <f t="shared" ref="H718" si="1364">+H717+D718</f>
        <v>70908763</v>
      </c>
      <c r="I718" s="16"/>
      <c r="J718" s="436">
        <f t="shared" ref="J718" si="1365">+D718/H717</f>
        <v>3.6684519620849978E-4</v>
      </c>
      <c r="K718" s="16"/>
      <c r="L718" s="16"/>
      <c r="M718" s="16"/>
      <c r="N718" s="16">
        <f t="shared" ref="N718" si="1366">SUM(D712:D718)</f>
        <v>353163</v>
      </c>
      <c r="O718" s="16">
        <f t="shared" ref="O718" si="1367">+H718/BW718</f>
        <v>100012.35966149507</v>
      </c>
      <c r="P718" s="41"/>
      <c r="Q718" s="17">
        <f t="shared" ref="Q718" si="1368">SUM(D712:D718)</f>
        <v>353163</v>
      </c>
      <c r="R718" s="16"/>
      <c r="S718" s="60">
        <f t="shared" ref="S718" si="1369">+(Q718-Q711)/Q711</f>
        <v>-0.38933894029177163</v>
      </c>
      <c r="T718" s="16"/>
      <c r="U718" s="41"/>
      <c r="V718" s="10">
        <f t="shared" si="558"/>
        <v>610</v>
      </c>
      <c r="W718" s="34">
        <v>635</v>
      </c>
      <c r="X718" s="33">
        <v>4256</v>
      </c>
      <c r="Y718" s="33"/>
      <c r="Z718" s="33">
        <f t="shared" ref="Z718" si="1370">SUM(W713:W718)</f>
        <v>8603</v>
      </c>
      <c r="AA718" s="33">
        <f t="shared" ref="AA718" si="1371">+AA717+W718</f>
        <v>861209</v>
      </c>
      <c r="AB718" s="33"/>
      <c r="AC718" s="46">
        <f t="shared" ref="AC718" si="1372">+AA718/H718</f>
        <v>1.21453112924844E-2</v>
      </c>
      <c r="AD718" s="33"/>
      <c r="AE718" s="33">
        <f t="shared" ref="AE718" si="1373">+AA718/BW718</f>
        <v>1214.6812411847673</v>
      </c>
      <c r="AF718" s="50"/>
      <c r="AG718" s="33"/>
      <c r="AH718" s="33"/>
      <c r="AI718" s="213"/>
      <c r="AJ718" s="50"/>
      <c r="AL718" s="23">
        <f t="shared" ref="AL718" si="1374">+AP718-AP717</f>
        <v>170795</v>
      </c>
      <c r="AM718" s="24"/>
      <c r="AN718" s="24"/>
      <c r="AO718" s="24">
        <v>178263</v>
      </c>
      <c r="AP718" s="24">
        <v>53037045</v>
      </c>
      <c r="AQ718" s="24">
        <v>20336656</v>
      </c>
      <c r="AR718" s="461">
        <f t="shared" ref="AR718" si="1375">+AL718/AP717</f>
        <v>3.2307001158584162E-3</v>
      </c>
      <c r="AS718" s="25"/>
      <c r="AT718" s="25"/>
      <c r="AU718" s="24"/>
      <c r="AV718" s="298">
        <f t="shared" ref="AV718" si="1376">+AP718/H718</f>
        <v>0.74796178576687344</v>
      </c>
      <c r="AW718" s="298"/>
      <c r="AX718" s="24">
        <f t="shared" ref="AX718" si="1377">+AP718/BW718</f>
        <v>74805.423131170668</v>
      </c>
      <c r="AY718" s="308"/>
      <c r="BA718" s="65">
        <f t="shared" ref="BA718" si="1378">+BC718-BC717</f>
        <v>401696</v>
      </c>
      <c r="BB718" s="66"/>
      <c r="BC718" s="66">
        <v>947533088</v>
      </c>
      <c r="BD718" s="66"/>
      <c r="BE718" s="66">
        <f t="shared" ref="BE718" si="1379">+D718</f>
        <v>26003</v>
      </c>
      <c r="BF718" s="66"/>
      <c r="BG718" s="144">
        <f t="shared" ref="BG718" si="1380">+BE718/BA718</f>
        <v>6.4733031944555083E-2</v>
      </c>
      <c r="BH718" s="66"/>
      <c r="BI718" s="170"/>
      <c r="BJ718" s="66"/>
      <c r="BK718" s="66"/>
      <c r="BL718" s="66"/>
      <c r="BM718" s="144"/>
      <c r="BN718" s="65">
        <f t="shared" ref="BN718" si="1381">+BC718/BW718</f>
        <v>1336435.9492242595</v>
      </c>
      <c r="BO718" s="66"/>
      <c r="BP718" s="66">
        <f t="shared" ref="BP718" si="1382">+BP717+BE718</f>
        <v>70001785</v>
      </c>
      <c r="BQ718" s="66"/>
      <c r="BR718" s="435">
        <f t="shared" ref="BR718" si="1383">+BP718/BC718</f>
        <v>7.3877931954604209E-2</v>
      </c>
      <c r="BS718" s="66"/>
      <c r="BT718" s="75"/>
      <c r="BU718" s="170"/>
      <c r="BV718" s="1"/>
      <c r="BW718" s="61">
        <f t="shared" si="399"/>
        <v>709</v>
      </c>
      <c r="BZ718" s="1"/>
      <c r="CA718" s="61"/>
    </row>
    <row r="719" spans="2:79" x14ac:dyDescent="0.3">
      <c r="B719" s="347">
        <f t="shared" si="1063"/>
        <v>44619</v>
      </c>
      <c r="C719" s="61"/>
      <c r="D719" s="17">
        <v>7464</v>
      </c>
      <c r="E719" s="16"/>
      <c r="F719" s="16"/>
      <c r="G719" s="16"/>
      <c r="H719" s="16">
        <f t="shared" ref="H719" si="1384">+H718+D719</f>
        <v>70916227</v>
      </c>
      <c r="I719" s="16"/>
      <c r="J719" s="436">
        <f t="shared" ref="J719" si="1385">+D719/H718</f>
        <v>1.052620252309295E-4</v>
      </c>
      <c r="K719" s="16"/>
      <c r="L719" s="16"/>
      <c r="M719" s="16"/>
      <c r="N719" s="16">
        <f t="shared" ref="N719" si="1386">SUM(D713:D719)</f>
        <v>345571</v>
      </c>
      <c r="O719" s="16">
        <f t="shared" ref="O719" si="1387">+H719/BW719</f>
        <v>99882.009859154932</v>
      </c>
      <c r="P719" s="41"/>
      <c r="Q719" s="17">
        <f t="shared" ref="Q719" si="1388">SUM(D713:D719)</f>
        <v>345571</v>
      </c>
      <c r="R719" s="16"/>
      <c r="S719" s="60">
        <f t="shared" ref="S719" si="1389">+(Q719-Q712)/Q712</f>
        <v>-0.38481271351335955</v>
      </c>
      <c r="T719" s="16"/>
      <c r="U719" s="41"/>
      <c r="V719" s="10">
        <f t="shared" si="558"/>
        <v>611</v>
      </c>
      <c r="W719" s="34">
        <v>189</v>
      </c>
      <c r="X719" s="33">
        <v>4256</v>
      </c>
      <c r="Y719" s="33"/>
      <c r="Z719" s="33">
        <f t="shared" ref="Z719" si="1390">SUM(W714:W719)</f>
        <v>8498</v>
      </c>
      <c r="AA719" s="33">
        <f t="shared" ref="AA719" si="1391">+AA718+W719</f>
        <v>861398</v>
      </c>
      <c r="AB719" s="33"/>
      <c r="AC719" s="46">
        <f t="shared" ref="AC719" si="1392">+AA719/H719</f>
        <v>1.2146698103383306E-2</v>
      </c>
      <c r="AD719" s="33"/>
      <c r="AE719" s="33">
        <f t="shared" ref="AE719" si="1393">+AA719/BW719</f>
        <v>1213.2366197183098</v>
      </c>
      <c r="AF719" s="50"/>
      <c r="AG719" s="33"/>
      <c r="AH719" s="33"/>
      <c r="AI719" s="213"/>
      <c r="AJ719" s="50"/>
      <c r="AL719" s="23">
        <f t="shared" ref="AL719" si="1394">+AP719-AP718</f>
        <v>155945</v>
      </c>
      <c r="AM719" s="24"/>
      <c r="AN719" s="24"/>
      <c r="AO719" s="24">
        <v>178263</v>
      </c>
      <c r="AP719" s="24">
        <v>53192990</v>
      </c>
      <c r="AQ719" s="24">
        <v>20336656</v>
      </c>
      <c r="AR719" s="461">
        <f t="shared" ref="AR719" si="1395">+AL719/AP718</f>
        <v>2.9403033294935644E-3</v>
      </c>
      <c r="AS719" s="25"/>
      <c r="AT719" s="25"/>
      <c r="AU719" s="24"/>
      <c r="AV719" s="298">
        <f t="shared" ref="AV719" si="1396">+AP719/H719</f>
        <v>0.75008206513863185</v>
      </c>
      <c r="AW719" s="298"/>
      <c r="AX719" s="24">
        <f t="shared" ref="AX719" si="1397">+AP719/BW719</f>
        <v>74919.704225352107</v>
      </c>
      <c r="AY719" s="308"/>
      <c r="BA719" s="65">
        <f t="shared" ref="BA719" si="1398">+BC719-BC718</f>
        <v>219233</v>
      </c>
      <c r="BB719" s="66"/>
      <c r="BC719" s="66">
        <v>947752321</v>
      </c>
      <c r="BD719" s="66"/>
      <c r="BE719" s="66">
        <f t="shared" ref="BE719" si="1399">+D719</f>
        <v>7464</v>
      </c>
      <c r="BF719" s="66"/>
      <c r="BG719" s="144">
        <f t="shared" ref="BG719" si="1400">+BE719/BA719</f>
        <v>3.4045969356803034E-2</v>
      </c>
      <c r="BH719" s="66"/>
      <c r="BI719" s="170"/>
      <c r="BJ719" s="66"/>
      <c r="BK719" s="66"/>
      <c r="BL719" s="66"/>
      <c r="BM719" s="144"/>
      <c r="BN719" s="65">
        <f t="shared" ref="BN719" si="1401">+BC719/BW719</f>
        <v>1334862.4239436621</v>
      </c>
      <c r="BO719" s="66"/>
      <c r="BP719" s="66">
        <f t="shared" ref="BP719" si="1402">+BP718+BE719</f>
        <v>70009249</v>
      </c>
      <c r="BQ719" s="66"/>
      <c r="BR719" s="435">
        <f t="shared" ref="BR719" si="1403">+BP719/BC719</f>
        <v>7.3868718069855302E-2</v>
      </c>
      <c r="BS719" s="66"/>
      <c r="BT719" s="75"/>
      <c r="BU719" s="170"/>
      <c r="BV719" s="1"/>
      <c r="BW719" s="61">
        <f t="shared" si="399"/>
        <v>710</v>
      </c>
      <c r="BZ719" s="1"/>
      <c r="CA719" s="61"/>
    </row>
    <row r="720" spans="2:79" x14ac:dyDescent="0.3">
      <c r="B720" s="158">
        <f t="shared" si="1063"/>
        <v>44620</v>
      </c>
      <c r="C720" s="61"/>
      <c r="D720" s="17">
        <v>32918</v>
      </c>
      <c r="E720" s="16"/>
      <c r="F720" s="16"/>
      <c r="G720" s="16"/>
      <c r="H720" s="16">
        <f t="shared" ref="H720" si="1404">+H719+D720</f>
        <v>70949145</v>
      </c>
      <c r="I720" s="16"/>
      <c r="J720" s="436">
        <f t="shared" ref="J720" si="1405">+D720/H719</f>
        <v>4.6418149121215936E-4</v>
      </c>
      <c r="K720" s="16"/>
      <c r="L720" s="16"/>
      <c r="M720" s="16"/>
      <c r="N720" s="16">
        <f t="shared" ref="N720" si="1406">SUM(D714:D720)</f>
        <v>350691</v>
      </c>
      <c r="O720" s="16">
        <f t="shared" ref="O720" si="1407">+H720/BW720</f>
        <v>99787.827004219405</v>
      </c>
      <c r="P720" s="41"/>
      <c r="Q720" s="17">
        <f t="shared" ref="Q720" si="1408">SUM(D714:D720)</f>
        <v>350691</v>
      </c>
      <c r="R720" s="16"/>
      <c r="S720" s="60">
        <f t="shared" ref="S720" si="1409">+(Q720-Q713)/Q713</f>
        <v>-0.31059842064601356</v>
      </c>
      <c r="T720" s="16"/>
      <c r="U720" s="41"/>
      <c r="V720" s="10">
        <f t="shared" si="558"/>
        <v>612</v>
      </c>
      <c r="W720" s="34">
        <v>710</v>
      </c>
      <c r="X720" s="33">
        <v>4256</v>
      </c>
      <c r="Y720" s="33"/>
      <c r="Z720" s="33">
        <f t="shared" ref="Z720" si="1410">SUM(W715:W720)</f>
        <v>7650</v>
      </c>
      <c r="AA720" s="33">
        <f t="shared" ref="AA720" si="1411">+AA719+W720</f>
        <v>862108</v>
      </c>
      <c r="AB720" s="33"/>
      <c r="AC720" s="46">
        <f t="shared" ref="AC720" si="1412">+AA720/H720</f>
        <v>1.2151069614721925E-2</v>
      </c>
      <c r="AD720" s="33"/>
      <c r="AE720" s="33">
        <f t="shared" ref="AE720" si="1413">+AA720/BW720</f>
        <v>1212.5288326300983</v>
      </c>
      <c r="AF720" s="50"/>
      <c r="AG720" s="33"/>
      <c r="AH720" s="33"/>
      <c r="AI720" s="213"/>
      <c r="AJ720" s="50"/>
      <c r="AL720" s="23">
        <f t="shared" ref="AL720" si="1414">+AP720-AP719</f>
        <v>307272</v>
      </c>
      <c r="AM720" s="24"/>
      <c r="AN720" s="24"/>
      <c r="AO720" s="24">
        <v>178263</v>
      </c>
      <c r="AP720" s="24">
        <v>53500262</v>
      </c>
      <c r="AQ720" s="24">
        <v>20336656</v>
      </c>
      <c r="AR720" s="461">
        <f t="shared" ref="AR720" si="1415">+AL720/AP719</f>
        <v>5.7765506319535712E-3</v>
      </c>
      <c r="AS720" s="25"/>
      <c r="AT720" s="25"/>
      <c r="AU720" s="24"/>
      <c r="AV720" s="298">
        <f t="shared" ref="AV720" si="1416">+AP720/H720</f>
        <v>0.75406492918272661</v>
      </c>
      <c r="AW720" s="298"/>
      <c r="AX720" s="24">
        <f t="shared" ref="AX720" si="1417">+AP720/BW720</f>
        <v>75246.50070323488</v>
      </c>
      <c r="AY720" s="308"/>
      <c r="BA720" s="65">
        <f t="shared" ref="BA720" si="1418">+BC720-BC719</f>
        <v>2767081</v>
      </c>
      <c r="BB720" s="66"/>
      <c r="BC720" s="66">
        <v>950519402</v>
      </c>
      <c r="BD720" s="66"/>
      <c r="BE720" s="66">
        <f t="shared" ref="BE720" si="1419">+D720</f>
        <v>32918</v>
      </c>
      <c r="BF720" s="66"/>
      <c r="BG720" s="144">
        <f t="shared" ref="BG720" si="1420">+BE720/BA720</f>
        <v>1.1896290712125883E-2</v>
      </c>
      <c r="BH720" s="66"/>
      <c r="BI720" s="170"/>
      <c r="BJ720" s="66"/>
      <c r="BK720" s="66"/>
      <c r="BL720" s="66"/>
      <c r="BM720" s="144"/>
      <c r="BN720" s="65">
        <f t="shared" ref="BN720" si="1421">+BC720/BW720</f>
        <v>1336876.7960618846</v>
      </c>
      <c r="BO720" s="66"/>
      <c r="BP720" s="66">
        <f t="shared" ref="BP720" si="1422">+BP719+BE720</f>
        <v>70042167</v>
      </c>
      <c r="BQ720" s="66"/>
      <c r="BR720" s="435">
        <f t="shared" ref="BR720" si="1423">+BP720/BC720</f>
        <v>7.3688308573842246E-2</v>
      </c>
      <c r="BS720" s="66"/>
      <c r="BT720" s="75"/>
      <c r="BU720" s="170"/>
      <c r="BV720" s="1"/>
      <c r="BW720" s="61">
        <f t="shared" si="399"/>
        <v>711</v>
      </c>
      <c r="BZ720" s="1"/>
      <c r="CA720" s="61"/>
    </row>
    <row r="721" spans="2:79" x14ac:dyDescent="0.3">
      <c r="B721" s="158">
        <f t="shared" si="1063"/>
        <v>44621</v>
      </c>
      <c r="C721" s="61"/>
      <c r="D721" s="17">
        <v>41899</v>
      </c>
      <c r="E721" s="16"/>
      <c r="F721" s="16"/>
      <c r="G721" s="16"/>
      <c r="H721" s="16">
        <f t="shared" ref="H721" si="1424">+H720+D721</f>
        <v>70991044</v>
      </c>
      <c r="I721" s="16"/>
      <c r="J721" s="436">
        <f t="shared" ref="J721" si="1425">+D721/H720</f>
        <v>5.9054975222041085E-4</v>
      </c>
      <c r="K721" s="16"/>
      <c r="L721" s="16"/>
      <c r="M721" s="16"/>
      <c r="N721" s="16">
        <f t="shared" ref="N721" si="1426">SUM(D715:D721)</f>
        <v>330727</v>
      </c>
      <c r="O721" s="16">
        <f t="shared" ref="O721" si="1427">+H721/BW721</f>
        <v>99706.52247191011</v>
      </c>
      <c r="P721" s="41"/>
      <c r="Q721" s="17">
        <f t="shared" ref="Q721" si="1428">SUM(D715:D721)</f>
        <v>330727</v>
      </c>
      <c r="R721" s="16"/>
      <c r="S721" s="60">
        <f t="shared" ref="S721" si="1429">+(Q721-Q714)/Q714</f>
        <v>-0.30032262500396673</v>
      </c>
      <c r="T721" s="16"/>
      <c r="U721" s="41"/>
      <c r="V721" s="10">
        <f t="shared" si="558"/>
        <v>613</v>
      </c>
      <c r="W721" s="34">
        <v>1451</v>
      </c>
      <c r="X721" s="33">
        <v>4256</v>
      </c>
      <c r="Y721" s="33"/>
      <c r="Z721" s="33">
        <f t="shared" ref="Z721" si="1430">SUM(W716:W721)</f>
        <v>6661</v>
      </c>
      <c r="AA721" s="33">
        <f t="shared" ref="AA721" si="1431">+AA720+W721</f>
        <v>863559</v>
      </c>
      <c r="AB721" s="33"/>
      <c r="AC721" s="46">
        <f t="shared" ref="AC721" si="1432">+AA721/H721</f>
        <v>1.2164337236680164E-2</v>
      </c>
      <c r="AD721" s="33"/>
      <c r="AE721" s="33">
        <f t="shared" ref="AE721" si="1433">+AA721/BW721</f>
        <v>1212.8637640449438</v>
      </c>
      <c r="AF721" s="50"/>
      <c r="AG721" s="33"/>
      <c r="AH721" s="33"/>
      <c r="AI721" s="213"/>
      <c r="AJ721" s="50"/>
      <c r="AL721" s="23">
        <f t="shared" ref="AL721" si="1434">+AP721-AP720</f>
        <v>230543</v>
      </c>
      <c r="AM721" s="24"/>
      <c r="AN721" s="24"/>
      <c r="AO721" s="24">
        <v>178263</v>
      </c>
      <c r="AP721" s="24">
        <v>53730805</v>
      </c>
      <c r="AQ721" s="24">
        <v>20336656</v>
      </c>
      <c r="AR721" s="461">
        <f t="shared" ref="AR721" si="1435">+AL721/AP720</f>
        <v>4.3091938503030131E-3</v>
      </c>
      <c r="AS721" s="25"/>
      <c r="AT721" s="25"/>
      <c r="AU721" s="24"/>
      <c r="AV721" s="298">
        <f t="shared" ref="AV721" si="1436">+AP721/H721</f>
        <v>0.75686737329852483</v>
      </c>
      <c r="AW721" s="298"/>
      <c r="AX721" s="24">
        <f t="shared" ref="AX721" si="1437">+AP721/BW721</f>
        <v>75464.613764044945</v>
      </c>
      <c r="AY721" s="308"/>
      <c r="BA721" s="65">
        <f t="shared" ref="BA721" si="1438">+BC721-BC720</f>
        <v>1025286</v>
      </c>
      <c r="BB721" s="66"/>
      <c r="BC721" s="66">
        <v>951544688</v>
      </c>
      <c r="BD721" s="66"/>
      <c r="BE721" s="66">
        <f t="shared" ref="BE721" si="1439">+D721</f>
        <v>41899</v>
      </c>
      <c r="BF721" s="66"/>
      <c r="BG721" s="144">
        <f t="shared" ref="BG721" si="1440">+BE721/BA721</f>
        <v>4.0865670651896155E-2</v>
      </c>
      <c r="BH721" s="66"/>
      <c r="BI721" s="170"/>
      <c r="BJ721" s="66"/>
      <c r="BK721" s="66"/>
      <c r="BL721" s="66"/>
      <c r="BM721" s="144"/>
      <c r="BN721" s="65">
        <f t="shared" ref="BN721" si="1441">+BC721/BW721</f>
        <v>1336439.1685393259</v>
      </c>
      <c r="BO721" s="66"/>
      <c r="BP721" s="66">
        <f t="shared" ref="BP721" si="1442">+BP720+BE721</f>
        <v>70084066</v>
      </c>
      <c r="BQ721" s="66"/>
      <c r="BR721" s="435">
        <f t="shared" ref="BR721" si="1443">+BP721/BC721</f>
        <v>7.3652942298806673E-2</v>
      </c>
      <c r="BS721" s="66"/>
      <c r="BT721" s="75"/>
      <c r="BU721" s="170"/>
      <c r="BV721" s="1"/>
      <c r="BW721" s="61">
        <f t="shared" si="399"/>
        <v>712</v>
      </c>
      <c r="BZ721" s="1"/>
      <c r="CA721" s="61"/>
    </row>
    <row r="722" spans="2:79" x14ac:dyDescent="0.3">
      <c r="B722" s="158">
        <f t="shared" si="1063"/>
        <v>44622</v>
      </c>
      <c r="C722" s="61"/>
      <c r="D722" s="17">
        <v>50699</v>
      </c>
      <c r="E722" s="16"/>
      <c r="F722" s="16"/>
      <c r="G722" s="16"/>
      <c r="H722" s="16">
        <f t="shared" ref="H722" si="1444">+H721+D722</f>
        <v>71041743</v>
      </c>
      <c r="I722" s="16"/>
      <c r="J722" s="436">
        <f t="shared" ref="J722" si="1445">+D722/H721</f>
        <v>7.1416050734512374E-4</v>
      </c>
      <c r="K722" s="16"/>
      <c r="L722" s="16"/>
      <c r="M722" s="16"/>
      <c r="N722" s="16">
        <f t="shared" ref="N722" si="1446">SUM(D716:D722)</f>
        <v>306126</v>
      </c>
      <c r="O722" s="16">
        <f t="shared" ref="O722" si="1447">+H722/BW722</f>
        <v>99637.788218793823</v>
      </c>
      <c r="P722" s="41"/>
      <c r="Q722" s="17">
        <f t="shared" ref="Q722" si="1448">SUM(D716:D722)</f>
        <v>306126</v>
      </c>
      <c r="R722" s="16"/>
      <c r="S722" s="60">
        <f t="shared" ref="S722" si="1449">+(Q722-Q715)/Q715</f>
        <v>-0.29352875608388318</v>
      </c>
      <c r="T722" s="16"/>
      <c r="U722" s="41"/>
      <c r="V722" s="10">
        <f t="shared" si="558"/>
        <v>614</v>
      </c>
      <c r="W722" s="34">
        <v>1778</v>
      </c>
      <c r="X722" s="33">
        <v>4256</v>
      </c>
      <c r="Y722" s="33"/>
      <c r="Z722" s="33">
        <f t="shared" ref="Z722" si="1450">SUM(W717:W722)</f>
        <v>6616</v>
      </c>
      <c r="AA722" s="33">
        <f t="shared" ref="AA722" si="1451">+AA721+W722</f>
        <v>865337</v>
      </c>
      <c r="AB722" s="33"/>
      <c r="AC722" s="46">
        <f t="shared" ref="AC722" si="1452">+AA722/H722</f>
        <v>1.218068368620967E-2</v>
      </c>
      <c r="AD722" s="33"/>
      <c r="AE722" s="33">
        <f t="shared" ref="AE722" si="1453">+AA722/BW722</f>
        <v>1213.6563814866761</v>
      </c>
      <c r="AF722" s="50"/>
      <c r="AG722" s="33"/>
      <c r="AH722" s="33"/>
      <c r="AI722" s="213"/>
      <c r="AJ722" s="50"/>
      <c r="AL722" s="23">
        <f t="shared" ref="AL722" si="1454">+AP722-AP721</f>
        <v>214984</v>
      </c>
      <c r="AM722" s="24"/>
      <c r="AN722" s="24"/>
      <c r="AO722" s="24">
        <v>178263</v>
      </c>
      <c r="AP722" s="24">
        <v>53945789</v>
      </c>
      <c r="AQ722" s="24">
        <v>20336656</v>
      </c>
      <c r="AR722" s="461">
        <f t="shared" ref="AR722" si="1455">+AL722/AP721</f>
        <v>4.0011311946657043E-3</v>
      </c>
      <c r="AS722" s="25"/>
      <c r="AT722" s="25"/>
      <c r="AU722" s="24"/>
      <c r="AV722" s="298">
        <f t="shared" ref="AV722" si="1456">+AP722/H722</f>
        <v>0.75935339874755048</v>
      </c>
      <c r="AW722" s="298"/>
      <c r="AX722" s="24">
        <f t="shared" ref="AX722" si="1457">+AP722/BW722</f>
        <v>75660.293127629731</v>
      </c>
      <c r="AY722" s="308"/>
      <c r="BA722" s="65">
        <f t="shared" ref="BA722" si="1458">+BC722-BC721</f>
        <v>1143010</v>
      </c>
      <c r="BB722" s="66"/>
      <c r="BC722" s="66">
        <v>952687698</v>
      </c>
      <c r="BD722" s="66"/>
      <c r="BE722" s="66">
        <f t="shared" ref="BE722" si="1459">+D722</f>
        <v>50699</v>
      </c>
      <c r="BF722" s="66"/>
      <c r="BG722" s="144">
        <f t="shared" ref="BG722" si="1460">+BE722/BA722</f>
        <v>4.4355692426138002E-2</v>
      </c>
      <c r="BH722" s="66"/>
      <c r="BI722" s="170"/>
      <c r="BJ722" s="66"/>
      <c r="BK722" s="66"/>
      <c r="BL722" s="66"/>
      <c r="BM722" s="144"/>
      <c r="BN722" s="65">
        <f t="shared" ref="BN722" si="1461">+BC722/BW722</f>
        <v>1336167.8793828893</v>
      </c>
      <c r="BO722" s="66"/>
      <c r="BP722" s="66">
        <f t="shared" ref="BP722" si="1462">+BP721+BE722</f>
        <v>70134765</v>
      </c>
      <c r="BQ722" s="66"/>
      <c r="BR722" s="435">
        <f t="shared" ref="BR722" si="1463">+BP722/BC722</f>
        <v>7.3617792217990835E-2</v>
      </c>
      <c r="BS722" s="66"/>
      <c r="BT722" s="75"/>
      <c r="BU722" s="170"/>
      <c r="BV722" s="1"/>
      <c r="BW722" s="61">
        <f t="shared" si="399"/>
        <v>713</v>
      </c>
      <c r="BZ722" s="1"/>
      <c r="CA722" s="61"/>
    </row>
    <row r="723" spans="2:79" x14ac:dyDescent="0.3">
      <c r="B723" s="158">
        <f t="shared" si="1063"/>
        <v>44623</v>
      </c>
      <c r="C723" s="61"/>
      <c r="D723" s="17">
        <v>49091</v>
      </c>
      <c r="E723" s="16"/>
      <c r="F723" s="16"/>
      <c r="G723" s="16"/>
      <c r="H723" s="16">
        <f t="shared" ref="H723" si="1464">+H722+D723</f>
        <v>71090834</v>
      </c>
      <c r="I723" s="16"/>
      <c r="J723" s="436">
        <f t="shared" ref="J723" si="1465">+D723/H722</f>
        <v>6.9101626630979477E-4</v>
      </c>
      <c r="K723" s="16"/>
      <c r="L723" s="16"/>
      <c r="M723" s="16"/>
      <c r="N723" s="16">
        <f t="shared" ref="N723" si="1466">SUM(D717:D723)</f>
        <v>284332</v>
      </c>
      <c r="O723" s="16">
        <f t="shared" ref="O723" si="1467">+H723/BW723</f>
        <v>99566.994397759103</v>
      </c>
      <c r="P723" s="41"/>
      <c r="Q723" s="17">
        <f t="shared" ref="Q723" si="1468">SUM(D717:D723)</f>
        <v>284332</v>
      </c>
      <c r="R723" s="16"/>
      <c r="S723" s="60">
        <f t="shared" ref="S723" si="1469">+(Q723-Q716)/Q716</f>
        <v>-0.29063306929457994</v>
      </c>
      <c r="T723" s="16"/>
      <c r="U723" s="41"/>
      <c r="V723" s="10">
        <f t="shared" si="558"/>
        <v>615</v>
      </c>
      <c r="W723" s="34">
        <v>1258</v>
      </c>
      <c r="X723" s="33">
        <v>4256</v>
      </c>
      <c r="Y723" s="33"/>
      <c r="Z723" s="33">
        <f t="shared" ref="Z723" si="1470">SUM(W718:W723)</f>
        <v>6021</v>
      </c>
      <c r="AA723" s="33">
        <f t="shared" ref="AA723" si="1471">+AA722+W723</f>
        <v>866595</v>
      </c>
      <c r="AB723" s="33"/>
      <c r="AC723" s="46">
        <f t="shared" ref="AC723" si="1472">+AA723/H723</f>
        <v>1.218996811881543E-2</v>
      </c>
      <c r="AD723" s="33"/>
      <c r="AE723" s="33">
        <f t="shared" ref="AE723" si="1473">+AA723/BW723</f>
        <v>1213.7184873949579</v>
      </c>
      <c r="AF723" s="50"/>
      <c r="AG723" s="33"/>
      <c r="AH723" s="33"/>
      <c r="AI723" s="213"/>
      <c r="AJ723" s="50"/>
      <c r="AL723" s="23">
        <f t="shared" ref="AL723" si="1474">+AP723-AP722</f>
        <v>191175</v>
      </c>
      <c r="AM723" s="24"/>
      <c r="AN723" s="24"/>
      <c r="AO723" s="24">
        <v>178263</v>
      </c>
      <c r="AP723" s="24">
        <v>54136964</v>
      </c>
      <c r="AQ723" s="24">
        <v>20336656</v>
      </c>
      <c r="AR723" s="461">
        <f t="shared" ref="AR723" si="1475">+AL723/AP722</f>
        <v>3.5438354604471539E-3</v>
      </c>
      <c r="AS723" s="25"/>
      <c r="AT723" s="25"/>
      <c r="AU723" s="24"/>
      <c r="AV723" s="298">
        <f t="shared" ref="AV723" si="1476">+AP723/H723</f>
        <v>0.76151820078520949</v>
      </c>
      <c r="AW723" s="298"/>
      <c r="AX723" s="24">
        <f t="shared" ref="AX723" si="1477">+AP723/BW723</f>
        <v>75822.078431372545</v>
      </c>
      <c r="AY723" s="308"/>
      <c r="BA723" s="65">
        <f t="shared" ref="BA723" si="1478">+BC723-BC722</f>
        <v>1680004</v>
      </c>
      <c r="BB723" s="66"/>
      <c r="BC723" s="66">
        <v>954367702</v>
      </c>
      <c r="BD723" s="66"/>
      <c r="BE723" s="66">
        <f t="shared" ref="BE723" si="1479">+D723</f>
        <v>49091</v>
      </c>
      <c r="BF723" s="66"/>
      <c r="BG723" s="144">
        <f t="shared" ref="BG723" si="1480">+BE723/BA723</f>
        <v>2.9220763760086286E-2</v>
      </c>
      <c r="BH723" s="66"/>
      <c r="BI723" s="170"/>
      <c r="BJ723" s="66"/>
      <c r="BK723" s="66"/>
      <c r="BL723" s="66"/>
      <c r="BM723" s="144"/>
      <c r="BN723" s="65">
        <f t="shared" ref="BN723" si="1481">+BC723/BW723</f>
        <v>1336649.4425770307</v>
      </c>
      <c r="BO723" s="66"/>
      <c r="BP723" s="66">
        <f t="shared" ref="BP723" si="1482">+BP722+BE723</f>
        <v>70183856</v>
      </c>
      <c r="BQ723" s="66"/>
      <c r="BR723" s="435">
        <f t="shared" ref="BR723" si="1483">+BP723/BC723</f>
        <v>7.353963870835184E-2</v>
      </c>
      <c r="BS723" s="66"/>
      <c r="BT723" s="75"/>
      <c r="BU723" s="170"/>
      <c r="BV723" s="1"/>
      <c r="BW723" s="61">
        <f t="shared" si="399"/>
        <v>714</v>
      </c>
      <c r="BZ723" s="1"/>
      <c r="CA723" s="61"/>
    </row>
    <row r="724" spans="2:79" x14ac:dyDescent="0.3">
      <c r="B724" s="158">
        <f t="shared" si="1063"/>
        <v>44624</v>
      </c>
      <c r="C724" s="61"/>
      <c r="D724" s="17">
        <v>45698</v>
      </c>
      <c r="E724" s="16"/>
      <c r="F724" s="16"/>
      <c r="G724" s="16"/>
      <c r="H724" s="16">
        <f t="shared" ref="H724" si="1484">+H723+D724</f>
        <v>71136532</v>
      </c>
      <c r="I724" s="16"/>
      <c r="J724" s="436">
        <f t="shared" ref="J724" si="1485">+D724/H723</f>
        <v>6.4281142066781771E-4</v>
      </c>
      <c r="K724" s="16"/>
      <c r="L724" s="16"/>
      <c r="M724" s="16"/>
      <c r="N724" s="16">
        <f t="shared" ref="N724" si="1486">SUM(D718:D724)</f>
        <v>253772</v>
      </c>
      <c r="O724" s="16">
        <f t="shared" ref="O724" si="1487">+H724/BW724</f>
        <v>99491.653146853147</v>
      </c>
      <c r="P724" s="41"/>
      <c r="Q724" s="17">
        <f t="shared" ref="Q724" si="1488">SUM(D718:D724)</f>
        <v>253772</v>
      </c>
      <c r="R724" s="16"/>
      <c r="S724" s="60">
        <f t="shared" ref="S724" si="1489">+(Q724-Q717)/Q717</f>
        <v>-0.31153029139751981</v>
      </c>
      <c r="T724" s="16"/>
      <c r="U724" s="41"/>
      <c r="V724" s="10">
        <f t="shared" si="558"/>
        <v>616</v>
      </c>
      <c r="W724" s="34">
        <v>1454</v>
      </c>
      <c r="X724" s="33">
        <v>4256</v>
      </c>
      <c r="Y724" s="33"/>
      <c r="Z724" s="33">
        <f t="shared" ref="Z724" si="1490">SUM(W719:W724)</f>
        <v>6840</v>
      </c>
      <c r="AA724" s="33">
        <f t="shared" ref="AA724" si="1491">+AA723+W724</f>
        <v>868049</v>
      </c>
      <c r="AB724" s="33"/>
      <c r="AC724" s="46">
        <f t="shared" ref="AC724" si="1492">+AA724/H724</f>
        <v>1.2202576870067268E-2</v>
      </c>
      <c r="AD724" s="33"/>
      <c r="AE724" s="33">
        <f t="shared" ref="AE724" si="1493">+AA724/BW724</f>
        <v>1214.0545454545454</v>
      </c>
      <c r="AF724" s="50"/>
      <c r="AG724" s="33"/>
      <c r="AH724" s="33"/>
      <c r="AI724" s="213"/>
      <c r="AJ724" s="50"/>
      <c r="AL724" s="23">
        <f t="shared" ref="AL724" si="1494">+AP724-AP723</f>
        <v>207970</v>
      </c>
      <c r="AM724" s="24"/>
      <c r="AN724" s="24"/>
      <c r="AO724" s="24">
        <v>178263</v>
      </c>
      <c r="AP724" s="24">
        <v>54344934</v>
      </c>
      <c r="AQ724" s="24">
        <v>20336656</v>
      </c>
      <c r="AR724" s="461">
        <f t="shared" ref="AR724" si="1495">+AL724/AP723</f>
        <v>3.8415526958622947E-3</v>
      </c>
      <c r="AS724" s="25"/>
      <c r="AT724" s="25"/>
      <c r="AU724" s="24"/>
      <c r="AV724" s="298">
        <f t="shared" ref="AV724" si="1496">+AP724/H724</f>
        <v>0.7639525356676089</v>
      </c>
      <c r="AW724" s="298"/>
      <c r="AX724" s="24">
        <f t="shared" ref="AX724" si="1497">+AP724/BW724</f>
        <v>76006.900699300706</v>
      </c>
      <c r="AY724" s="308"/>
      <c r="BA724" s="65">
        <f t="shared" ref="BA724" si="1498">+BC724-BC723</f>
        <v>1413093</v>
      </c>
      <c r="BB724" s="66"/>
      <c r="BC724" s="66">
        <v>955780795</v>
      </c>
      <c r="BD724" s="66"/>
      <c r="BE724" s="66">
        <f t="shared" ref="BE724" si="1499">+D724</f>
        <v>45698</v>
      </c>
      <c r="BF724" s="66"/>
      <c r="BG724" s="144">
        <f t="shared" ref="BG724" si="1500">+BE724/BA724</f>
        <v>3.2338989719714134E-2</v>
      </c>
      <c r="BH724" s="66"/>
      <c r="BI724" s="170"/>
      <c r="BJ724" s="66"/>
      <c r="BK724" s="66"/>
      <c r="BL724" s="66"/>
      <c r="BM724" s="144"/>
      <c r="BN724" s="65">
        <f t="shared" ref="BN724" si="1501">+BC724/BW724</f>
        <v>1336756.3566433566</v>
      </c>
      <c r="BO724" s="66"/>
      <c r="BP724" s="66">
        <f t="shared" ref="BP724" si="1502">+BP723+BE724</f>
        <v>70229554</v>
      </c>
      <c r="BQ724" s="66"/>
      <c r="BR724" s="435">
        <f t="shared" ref="BR724" si="1503">+BP724/BC724</f>
        <v>7.3478724794841688E-2</v>
      </c>
      <c r="BS724" s="66"/>
      <c r="BT724" s="75"/>
      <c r="BU724" s="170"/>
      <c r="BV724" s="1"/>
      <c r="BW724" s="61">
        <f t="shared" si="399"/>
        <v>715</v>
      </c>
      <c r="BZ724" s="1"/>
      <c r="CA724" s="61"/>
    </row>
    <row r="725" spans="2:79" x14ac:dyDescent="0.3">
      <c r="B725" s="158">
        <f t="shared" si="1063"/>
        <v>44625</v>
      </c>
      <c r="C725" s="61"/>
      <c r="D725" s="17">
        <v>16213</v>
      </c>
      <c r="E725" s="16"/>
      <c r="F725" s="16"/>
      <c r="G725" s="16"/>
      <c r="H725" s="16">
        <f t="shared" ref="H725" si="1504">+H724+D725</f>
        <v>71152745</v>
      </c>
      <c r="I725" s="16"/>
      <c r="J725" s="436">
        <f t="shared" ref="J725" si="1505">+D725/H724</f>
        <v>2.2791383757645088E-4</v>
      </c>
      <c r="K725" s="16"/>
      <c r="L725" s="16"/>
      <c r="M725" s="16"/>
      <c r="N725" s="16">
        <f t="shared" ref="N725" si="1506">SUM(D719:D725)</f>
        <v>243982</v>
      </c>
      <c r="O725" s="16">
        <f t="shared" ref="O725" si="1507">+H725/BW725</f>
        <v>99375.342178770952</v>
      </c>
      <c r="P725" s="41"/>
      <c r="Q725" s="17">
        <f t="shared" ref="Q725" si="1508">SUM(D719:D725)</f>
        <v>243982</v>
      </c>
      <c r="R725" s="16"/>
      <c r="S725" s="60">
        <f t="shared" ref="S725" si="1509">+(Q725-Q718)/Q718</f>
        <v>-0.30915186471969036</v>
      </c>
      <c r="T725" s="16"/>
      <c r="U725" s="41"/>
      <c r="V725" s="10">
        <f t="shared" si="558"/>
        <v>617</v>
      </c>
      <c r="W725" s="34">
        <v>328</v>
      </c>
      <c r="X725" s="33">
        <v>4256</v>
      </c>
      <c r="Y725" s="33"/>
      <c r="Z725" s="33">
        <f t="shared" ref="Z725" si="1510">SUM(W720:W725)</f>
        <v>6979</v>
      </c>
      <c r="AA725" s="33">
        <f t="shared" ref="AA725" si="1511">+AA724+W725</f>
        <v>868377</v>
      </c>
      <c r="AB725" s="33"/>
      <c r="AC725" s="46">
        <f t="shared" ref="AC725" si="1512">+AA725/H725</f>
        <v>1.2204406168728978E-2</v>
      </c>
      <c r="AD725" s="33"/>
      <c r="AE725" s="33">
        <f t="shared" ref="AE725" si="1513">+AA725/BW725</f>
        <v>1212.8170391061453</v>
      </c>
      <c r="AF725" s="50"/>
      <c r="AG725" s="33"/>
      <c r="AH725" s="33"/>
      <c r="AI725" s="213"/>
      <c r="AJ725" s="50"/>
      <c r="AL725" s="23">
        <f t="shared" ref="AL725" si="1514">+AP725-AP724</f>
        <v>250010</v>
      </c>
      <c r="AM725" s="24"/>
      <c r="AN725" s="24"/>
      <c r="AO725" s="24">
        <v>178263</v>
      </c>
      <c r="AP725" s="24">
        <v>54594944</v>
      </c>
      <c r="AQ725" s="24">
        <v>20336656</v>
      </c>
      <c r="AR725" s="461">
        <f t="shared" ref="AR725" si="1515">+AL725/AP724</f>
        <v>4.6004288090588166E-3</v>
      </c>
      <c r="AS725" s="25"/>
      <c r="AT725" s="25"/>
      <c r="AU725" s="24"/>
      <c r="AV725" s="298">
        <f t="shared" ref="AV725" si="1516">+AP725/H725</f>
        <v>0.76729216841880099</v>
      </c>
      <c r="AW725" s="298"/>
      <c r="AX725" s="24">
        <f t="shared" ref="AX725" si="1517">+AP725/BW725</f>
        <v>76249.921787709492</v>
      </c>
      <c r="AY725" s="308"/>
      <c r="BA725" s="65">
        <f t="shared" ref="BA725" si="1518">+BC725-BC724</f>
        <v>553786</v>
      </c>
      <c r="BB725" s="66"/>
      <c r="BC725" s="66">
        <v>956334581</v>
      </c>
      <c r="BD725" s="66"/>
      <c r="BE725" s="66">
        <f t="shared" ref="BE725" si="1519">+D725</f>
        <v>16213</v>
      </c>
      <c r="BF725" s="66"/>
      <c r="BG725" s="144">
        <f t="shared" ref="BG725" si="1520">+BE725/BA725</f>
        <v>2.9276651991924679E-2</v>
      </c>
      <c r="BH725" s="66"/>
      <c r="BI725" s="170"/>
      <c r="BJ725" s="66"/>
      <c r="BK725" s="66"/>
      <c r="BL725" s="66"/>
      <c r="BM725" s="144"/>
      <c r="BN725" s="65">
        <f t="shared" ref="BN725" si="1521">+BC725/BW725</f>
        <v>1335662.8226256983</v>
      </c>
      <c r="BO725" s="66"/>
      <c r="BP725" s="66">
        <f t="shared" ref="BP725" si="1522">+BP724+BE725</f>
        <v>70245767</v>
      </c>
      <c r="BQ725" s="66"/>
      <c r="BR725" s="435">
        <f t="shared" ref="BR725" si="1523">+BP725/BC725</f>
        <v>7.3453128638877485E-2</v>
      </c>
      <c r="BS725" s="66"/>
      <c r="BT725" s="75"/>
      <c r="BU725" s="170"/>
      <c r="BV725" s="1"/>
      <c r="BW725" s="61">
        <f t="shared" si="399"/>
        <v>716</v>
      </c>
      <c r="BZ725" s="1"/>
      <c r="CA725" s="61"/>
    </row>
    <row r="726" spans="2:79" x14ac:dyDescent="0.3">
      <c r="B726" s="347">
        <f t="shared" si="1063"/>
        <v>44626</v>
      </c>
      <c r="C726" s="61"/>
      <c r="D726" s="17">
        <v>4903</v>
      </c>
      <c r="E726" s="16"/>
      <c r="F726" s="16"/>
      <c r="G726" s="16"/>
      <c r="H726" s="16">
        <f t="shared" ref="H726" si="1524">+H725+D726</f>
        <v>71157648</v>
      </c>
      <c r="I726" s="16"/>
      <c r="J726" s="436">
        <f t="shared" ref="J726" si="1525">+D726/H725</f>
        <v>6.8908093426332315E-5</v>
      </c>
      <c r="K726" s="16"/>
      <c r="L726" s="16"/>
      <c r="M726" s="16"/>
      <c r="N726" s="16">
        <f t="shared" ref="N726" si="1526">SUM(D720:D726)</f>
        <v>241421</v>
      </c>
      <c r="O726" s="16">
        <f t="shared" ref="O726" si="1527">+H726/BW726</f>
        <v>99243.581589958165</v>
      </c>
      <c r="P726" s="41"/>
      <c r="Q726" s="17">
        <f t="shared" ref="Q726" si="1528">SUM(D720:D726)</f>
        <v>241421</v>
      </c>
      <c r="R726" s="16"/>
      <c r="S726" s="60">
        <f t="shared" ref="S726" si="1529">+(Q726-Q719)/Q719</f>
        <v>-0.30138524355342317</v>
      </c>
      <c r="T726" s="16"/>
      <c r="U726" s="41"/>
      <c r="V726" s="10">
        <f t="shared" si="558"/>
        <v>618</v>
      </c>
      <c r="W726" s="34">
        <v>183</v>
      </c>
      <c r="X726" s="33">
        <v>4256</v>
      </c>
      <c r="Y726" s="33"/>
      <c r="Z726" s="33">
        <f t="shared" ref="Z726" si="1530">SUM(W721:W726)</f>
        <v>6452</v>
      </c>
      <c r="AA726" s="33">
        <f t="shared" ref="AA726" si="1531">+AA725+W726</f>
        <v>868560</v>
      </c>
      <c r="AB726" s="33"/>
      <c r="AC726" s="46">
        <f t="shared" ref="AC726" si="1532">+AA726/H726</f>
        <v>1.2206136998794564E-2</v>
      </c>
      <c r="AD726" s="33"/>
      <c r="AE726" s="33">
        <f t="shared" ref="AE726" si="1533">+AA726/BW726</f>
        <v>1211.3807531380753</v>
      </c>
      <c r="AF726" s="50"/>
      <c r="AG726" s="33"/>
      <c r="AH726" s="33"/>
      <c r="AI726" s="213"/>
      <c r="AJ726" s="50"/>
      <c r="AL726" s="23">
        <f t="shared" ref="AL726" si="1534">+AP726-AP725</f>
        <v>158237</v>
      </c>
      <c r="AM726" s="24"/>
      <c r="AN726" s="24"/>
      <c r="AO726" s="24">
        <v>178263</v>
      </c>
      <c r="AP726" s="24">
        <v>54753181</v>
      </c>
      <c r="AQ726" s="24">
        <v>20336656</v>
      </c>
      <c r="AR726" s="461">
        <f t="shared" ref="AR726" si="1535">+AL726/AP725</f>
        <v>2.8983819454050544E-3</v>
      </c>
      <c r="AS726" s="25"/>
      <c r="AT726" s="25"/>
      <c r="AU726" s="24"/>
      <c r="AV726" s="298">
        <f t="shared" ref="AV726" si="1536">+AP726/H726</f>
        <v>0.76946305195472453</v>
      </c>
      <c r="AW726" s="298"/>
      <c r="AX726" s="24">
        <f t="shared" ref="AX726" si="1537">+AP726/BW726</f>
        <v>76364.269177126916</v>
      </c>
      <c r="AY726" s="308"/>
      <c r="BA726" s="65">
        <f t="shared" ref="BA726" si="1538">+BC726-BC725</f>
        <v>195077</v>
      </c>
      <c r="BB726" s="66"/>
      <c r="BC726" s="66">
        <v>956529658</v>
      </c>
      <c r="BD726" s="66"/>
      <c r="BE726" s="66">
        <f t="shared" ref="BE726" si="1539">+D726</f>
        <v>4903</v>
      </c>
      <c r="BF726" s="66"/>
      <c r="BG726" s="144">
        <f t="shared" ref="BG726" si="1540">+BE726/BA726</f>
        <v>2.5133665168113103E-2</v>
      </c>
      <c r="BH726" s="66"/>
      <c r="BI726" s="170"/>
      <c r="BJ726" s="66"/>
      <c r="BK726" s="66"/>
      <c r="BL726" s="66"/>
      <c r="BM726" s="144"/>
      <c r="BN726" s="65">
        <f t="shared" ref="BN726" si="1541">+BC726/BW726</f>
        <v>1334072.0474198048</v>
      </c>
      <c r="BO726" s="66"/>
      <c r="BP726" s="66">
        <f t="shared" ref="BP726" si="1542">+BP725+BE726</f>
        <v>70250670</v>
      </c>
      <c r="BQ726" s="66"/>
      <c r="BR726" s="435">
        <f t="shared" ref="BR726" si="1543">+BP726/BC726</f>
        <v>7.3443274249213084E-2</v>
      </c>
      <c r="BS726" s="66"/>
      <c r="BT726" s="75"/>
      <c r="BU726" s="170"/>
      <c r="BV726" s="1"/>
      <c r="BW726" s="61">
        <f t="shared" ref="BW726:BW852" si="1544">+BW725+1</f>
        <v>717</v>
      </c>
      <c r="BZ726" s="1"/>
      <c r="CA726" s="61"/>
    </row>
    <row r="727" spans="2:79" x14ac:dyDescent="0.3">
      <c r="B727" s="158">
        <f t="shared" si="1063"/>
        <v>44627</v>
      </c>
      <c r="C727" s="61"/>
      <c r="D727" s="17">
        <v>25751</v>
      </c>
      <c r="E727" s="16"/>
      <c r="F727" s="16"/>
      <c r="G727" s="16"/>
      <c r="H727" s="16">
        <f t="shared" ref="H727" si="1545">+H726+D727</f>
        <v>71183399</v>
      </c>
      <c r="I727" s="16"/>
      <c r="J727" s="436">
        <f t="shared" ref="J727" si="1546">+D727/H726</f>
        <v>3.6188660985534543E-4</v>
      </c>
      <c r="K727" s="16"/>
      <c r="L727" s="16"/>
      <c r="M727" s="16"/>
      <c r="N727" s="16">
        <f t="shared" ref="N727" si="1547">SUM(D721:D727)</f>
        <v>234254</v>
      </c>
      <c r="O727" s="16">
        <f t="shared" ref="O727" si="1548">+H727/BW727</f>
        <v>99141.224233983288</v>
      </c>
      <c r="P727" s="41"/>
      <c r="Q727" s="17">
        <f t="shared" ref="Q727" si="1549">SUM(D721:D727)</f>
        <v>234254</v>
      </c>
      <c r="R727" s="16"/>
      <c r="S727" s="60">
        <f t="shared" ref="S727" si="1550">+(Q727-Q720)/Q720</f>
        <v>-0.3320216372818236</v>
      </c>
      <c r="T727" s="16"/>
      <c r="U727" s="41"/>
      <c r="V727" s="10">
        <f t="shared" si="558"/>
        <v>619</v>
      </c>
      <c r="W727" s="34">
        <v>508</v>
      </c>
      <c r="X727" s="33">
        <v>4256</v>
      </c>
      <c r="Y727" s="33"/>
      <c r="Z727" s="33">
        <f t="shared" ref="Z727" si="1551">SUM(W722:W727)</f>
        <v>5509</v>
      </c>
      <c r="AA727" s="33">
        <f t="shared" ref="AA727" si="1552">+AA726+W727</f>
        <v>869068</v>
      </c>
      <c r="AB727" s="33"/>
      <c r="AC727" s="46">
        <f t="shared" ref="AC727" si="1553">+AA727/H727</f>
        <v>1.2208857854624222E-2</v>
      </c>
      <c r="AD727" s="33"/>
      <c r="AE727" s="33">
        <f t="shared" ref="AE727" si="1554">+AA727/BW727</f>
        <v>1210.4011142061281</v>
      </c>
      <c r="AF727" s="50"/>
      <c r="AG727" s="33"/>
      <c r="AH727" s="33"/>
      <c r="AI727" s="213"/>
      <c r="AJ727" s="50"/>
      <c r="AL727" s="23">
        <f t="shared" ref="AL727" si="1555">+AP727-AP726</f>
        <v>259830</v>
      </c>
      <c r="AM727" s="24"/>
      <c r="AN727" s="24"/>
      <c r="AO727" s="24">
        <v>178263</v>
      </c>
      <c r="AP727" s="24">
        <v>55013011</v>
      </c>
      <c r="AQ727" s="24">
        <v>20336656</v>
      </c>
      <c r="AR727" s="461">
        <f t="shared" ref="AR727" si="1556">+AL727/AP726</f>
        <v>4.745477710235685E-3</v>
      </c>
      <c r="AS727" s="25"/>
      <c r="AT727" s="25"/>
      <c r="AU727" s="24"/>
      <c r="AV727" s="298">
        <f t="shared" ref="AV727" si="1557">+AP727/H727</f>
        <v>0.77283484313526529</v>
      </c>
      <c r="AW727" s="298"/>
      <c r="AX727" s="24">
        <f t="shared" ref="AX727" si="1558">+AP727/BW727</f>
        <v>76619.792479108641</v>
      </c>
      <c r="AY727" s="308"/>
      <c r="BA727" s="65">
        <f t="shared" ref="BA727" si="1559">+BC727-BC726</f>
        <v>1788945</v>
      </c>
      <c r="BB727" s="66"/>
      <c r="BC727" s="66">
        <v>958318603</v>
      </c>
      <c r="BD727" s="66"/>
      <c r="BE727" s="66">
        <f t="shared" ref="BE727" si="1560">+D727</f>
        <v>25751</v>
      </c>
      <c r="BF727" s="66"/>
      <c r="BG727" s="144">
        <f t="shared" ref="BG727" si="1561">+BE727/BA727</f>
        <v>1.4394517439049272E-2</v>
      </c>
      <c r="BH727" s="66"/>
      <c r="BI727" s="170"/>
      <c r="BJ727" s="66"/>
      <c r="BK727" s="66"/>
      <c r="BL727" s="66"/>
      <c r="BM727" s="144"/>
      <c r="BN727" s="65">
        <f t="shared" ref="BN727" si="1562">+BC727/BW727</f>
        <v>1334705.5752089135</v>
      </c>
      <c r="BO727" s="66"/>
      <c r="BP727" s="66">
        <f t="shared" ref="BP727" si="1563">+BP726+BE727</f>
        <v>70276421</v>
      </c>
      <c r="BQ727" s="66"/>
      <c r="BR727" s="435">
        <f t="shared" ref="BR727" si="1564">+BP727/BC727</f>
        <v>7.3333044751506302E-2</v>
      </c>
      <c r="BS727" s="66"/>
      <c r="BT727" s="75"/>
      <c r="BU727" s="170"/>
      <c r="BV727" s="1"/>
      <c r="BW727" s="61">
        <f t="shared" si="1544"/>
        <v>718</v>
      </c>
      <c r="BZ727" s="1"/>
      <c r="CA727" s="61"/>
    </row>
    <row r="728" spans="2:79" x14ac:dyDescent="0.3">
      <c r="B728" s="158">
        <f t="shared" si="1063"/>
        <v>44628</v>
      </c>
      <c r="C728" s="61"/>
      <c r="D728" s="17">
        <v>29632</v>
      </c>
      <c r="E728" s="16"/>
      <c r="F728" s="16"/>
      <c r="G728" s="16"/>
      <c r="H728" s="16">
        <f t="shared" ref="H728" si="1565">+H727+D728</f>
        <v>71213031</v>
      </c>
      <c r="I728" s="16"/>
      <c r="J728" s="436">
        <f t="shared" ref="J728" si="1566">+D728/H727</f>
        <v>4.1627683443438827E-4</v>
      </c>
      <c r="K728" s="16"/>
      <c r="L728" s="16"/>
      <c r="M728" s="16"/>
      <c r="N728" s="16">
        <f t="shared" ref="N728" si="1567">SUM(D722:D728)</f>
        <v>221987</v>
      </c>
      <c r="O728" s="16">
        <f t="shared" ref="O728" si="1568">+H728/BW728</f>
        <v>99044.549374130744</v>
      </c>
      <c r="P728" s="41"/>
      <c r="Q728" s="17">
        <f t="shared" ref="Q728" si="1569">SUM(D722:D728)</f>
        <v>221987</v>
      </c>
      <c r="R728" s="16"/>
      <c r="S728" s="60">
        <f t="shared" ref="S728" si="1570">+(Q728-Q721)/Q721</f>
        <v>-0.3287908153854992</v>
      </c>
      <c r="T728" s="16"/>
      <c r="U728" s="41"/>
      <c r="V728" s="10">
        <f t="shared" si="558"/>
        <v>620</v>
      </c>
      <c r="W728" s="34">
        <v>1128</v>
      </c>
      <c r="X728" s="33">
        <v>4256</v>
      </c>
      <c r="Y728" s="33"/>
      <c r="Z728" s="33">
        <f t="shared" ref="Z728" si="1571">SUM(W723:W728)</f>
        <v>4859</v>
      </c>
      <c r="AA728" s="33">
        <f t="shared" ref="AA728" si="1572">+AA727+W728</f>
        <v>870196</v>
      </c>
      <c r="AB728" s="33"/>
      <c r="AC728" s="46">
        <f t="shared" ref="AC728" si="1573">+AA728/H728</f>
        <v>1.221961750230797E-2</v>
      </c>
      <c r="AD728" s="33"/>
      <c r="AE728" s="33">
        <f t="shared" ref="AE728" si="1574">+AA728/BW728</f>
        <v>1210.2865090403338</v>
      </c>
      <c r="AF728" s="50"/>
      <c r="AG728" s="33"/>
      <c r="AH728" s="33"/>
      <c r="AI728" s="213"/>
      <c r="AJ728" s="50"/>
      <c r="AL728" s="23">
        <f t="shared" ref="AL728" si="1575">+AP728-AP727</f>
        <v>202659</v>
      </c>
      <c r="AM728" s="24"/>
      <c r="AN728" s="24"/>
      <c r="AO728" s="24">
        <v>178263</v>
      </c>
      <c r="AP728" s="24">
        <v>55215670</v>
      </c>
      <c r="AQ728" s="24">
        <v>20336656</v>
      </c>
      <c r="AR728" s="461">
        <f t="shared" ref="AR728" si="1576">+AL728/AP727</f>
        <v>3.6838376288838288E-3</v>
      </c>
      <c r="AS728" s="25"/>
      <c r="AT728" s="25"/>
      <c r="AU728" s="24"/>
      <c r="AV728" s="298">
        <f t="shared" ref="AV728" si="1577">+AP728/H728</f>
        <v>0.77535907718911723</v>
      </c>
      <c r="AW728" s="298"/>
      <c r="AX728" s="24">
        <f t="shared" ref="AX728" si="1578">+AP728/BW728</f>
        <v>76795.090403337963</v>
      </c>
      <c r="AY728" s="308"/>
      <c r="BA728" s="65">
        <f t="shared" ref="BA728" si="1579">+BC728-BC727</f>
        <v>1742227</v>
      </c>
      <c r="BB728" s="66"/>
      <c r="BC728" s="66">
        <v>960060830</v>
      </c>
      <c r="BD728" s="66"/>
      <c r="BE728" s="66">
        <f t="shared" ref="BE728" si="1580">+D728</f>
        <v>29632</v>
      </c>
      <c r="BF728" s="66"/>
      <c r="BG728" s="144">
        <f t="shared" ref="BG728" si="1581">+BE728/BA728</f>
        <v>1.7008116623149567E-2</v>
      </c>
      <c r="BH728" s="66"/>
      <c r="BI728" s="170"/>
      <c r="BJ728" s="66"/>
      <c r="BK728" s="66"/>
      <c r="BL728" s="66"/>
      <c r="BM728" s="144"/>
      <c r="BN728" s="65">
        <f t="shared" ref="BN728" si="1582">+BC728/BW728</f>
        <v>1335272.3643949931</v>
      </c>
      <c r="BO728" s="66"/>
      <c r="BP728" s="66">
        <f t="shared" ref="BP728" si="1583">+BP727+BE728</f>
        <v>70306053</v>
      </c>
      <c r="BQ728" s="66"/>
      <c r="BR728" s="435">
        <f t="shared" ref="BR728" si="1584">+BP728/BC728</f>
        <v>7.3230831633866372E-2</v>
      </c>
      <c r="BS728" s="66"/>
      <c r="BT728" s="75"/>
      <c r="BU728" s="170"/>
      <c r="BV728" s="1"/>
      <c r="BW728" s="61">
        <f t="shared" si="1544"/>
        <v>719</v>
      </c>
      <c r="BZ728" s="1"/>
      <c r="CA728" s="61"/>
    </row>
    <row r="729" spans="2:79" x14ac:dyDescent="0.3">
      <c r="B729" s="158">
        <f t="shared" si="1063"/>
        <v>44629</v>
      </c>
      <c r="C729" s="61"/>
      <c r="D729" s="17">
        <v>39200</v>
      </c>
      <c r="E729" s="16"/>
      <c r="F729" s="16"/>
      <c r="G729" s="16"/>
      <c r="H729" s="16">
        <f t="shared" ref="H729" si="1585">+H728+D729</f>
        <v>71252231</v>
      </c>
      <c r="I729" s="16"/>
      <c r="J729" s="436">
        <f t="shared" ref="J729" si="1586">+D729/H728</f>
        <v>5.5046105255651873E-4</v>
      </c>
      <c r="K729" s="16"/>
      <c r="L729" s="16"/>
      <c r="M729" s="16"/>
      <c r="N729" s="16">
        <f t="shared" ref="N729" si="1587">SUM(D723:D729)</f>
        <v>210488</v>
      </c>
      <c r="O729" s="16">
        <f t="shared" ref="O729" si="1588">+H729/BW729</f>
        <v>98961.431944444441</v>
      </c>
      <c r="P729" s="41"/>
      <c r="Q729" s="17">
        <f t="shared" ref="Q729" si="1589">SUM(D723:D729)</f>
        <v>210488</v>
      </c>
      <c r="R729" s="16"/>
      <c r="S729" s="60">
        <f t="shared" ref="S729" si="1590">+(Q729-Q722)/Q722</f>
        <v>-0.31241384266609173</v>
      </c>
      <c r="T729" s="16"/>
      <c r="U729" s="41"/>
      <c r="V729" s="10">
        <f t="shared" si="558"/>
        <v>621</v>
      </c>
      <c r="W729" s="34">
        <v>1265</v>
      </c>
      <c r="X729" s="33">
        <v>4256</v>
      </c>
      <c r="Y729" s="33"/>
      <c r="Z729" s="33">
        <f t="shared" ref="Z729" si="1591">SUM(W724:W729)</f>
        <v>4866</v>
      </c>
      <c r="AA729" s="33">
        <f t="shared" ref="AA729" si="1592">+AA728+W729</f>
        <v>871461</v>
      </c>
      <c r="AB729" s="33"/>
      <c r="AC729" s="46">
        <f t="shared" ref="AC729" si="1593">+AA729/H729</f>
        <v>1.2230648609444944E-2</v>
      </c>
      <c r="AD729" s="33"/>
      <c r="AE729" s="33">
        <f t="shared" ref="AE729" si="1594">+AA729/BW729</f>
        <v>1210.3625</v>
      </c>
      <c r="AF729" s="50"/>
      <c r="AG729" s="33"/>
      <c r="AH729" s="33"/>
      <c r="AI729" s="213"/>
      <c r="AJ729" s="50"/>
      <c r="AL729" s="23">
        <f t="shared" ref="AL729" si="1595">+AP729-AP728</f>
        <v>214324</v>
      </c>
      <c r="AM729" s="24"/>
      <c r="AN729" s="24"/>
      <c r="AO729" s="24">
        <v>178263</v>
      </c>
      <c r="AP729" s="24">
        <v>55429994</v>
      </c>
      <c r="AQ729" s="24">
        <v>20336656</v>
      </c>
      <c r="AR729" s="461">
        <f t="shared" ref="AR729" si="1596">+AL729/AP728</f>
        <v>3.881579269073435E-3</v>
      </c>
      <c r="AS729" s="25"/>
      <c r="AT729" s="25"/>
      <c r="AU729" s="24"/>
      <c r="AV729" s="298">
        <f t="shared" ref="AV729" si="1597">+AP729/H729</f>
        <v>0.77794046897984148</v>
      </c>
      <c r="AW729" s="298"/>
      <c r="AX729" s="24">
        <f t="shared" ref="AX729" si="1598">+AP729/BW729</f>
        <v>76986.102777777778</v>
      </c>
      <c r="AY729" s="308"/>
      <c r="BA729" s="65">
        <f t="shared" ref="BA729" si="1599">+BC729-BC728</f>
        <v>1387984</v>
      </c>
      <c r="BB729" s="66"/>
      <c r="BC729" s="66">
        <v>961448814</v>
      </c>
      <c r="BD729" s="66"/>
      <c r="BE729" s="66">
        <f t="shared" ref="BE729" si="1600">+D729</f>
        <v>39200</v>
      </c>
      <c r="BF729" s="66"/>
      <c r="BG729" s="144">
        <f t="shared" ref="BG729" si="1601">+BE729/BA729</f>
        <v>2.8242400488766441E-2</v>
      </c>
      <c r="BH729" s="66"/>
      <c r="BI729" s="170"/>
      <c r="BJ729" s="66"/>
      <c r="BK729" s="66"/>
      <c r="BL729" s="66"/>
      <c r="BM729" s="144"/>
      <c r="BN729" s="65">
        <f t="shared" ref="BN729" si="1602">+BC729/BW729</f>
        <v>1335345.575</v>
      </c>
      <c r="BO729" s="66"/>
      <c r="BP729" s="66">
        <f t="shared" ref="BP729" si="1603">+BP728+BE729</f>
        <v>70345253</v>
      </c>
      <c r="BQ729" s="66"/>
      <c r="BR729" s="435">
        <f t="shared" ref="BR729" si="1604">+BP729/BC729</f>
        <v>7.316588462711443E-2</v>
      </c>
      <c r="BS729" s="66"/>
      <c r="BT729" s="75"/>
      <c r="BU729" s="170"/>
      <c r="BV729" s="1"/>
      <c r="BW729" s="61">
        <f t="shared" si="1544"/>
        <v>720</v>
      </c>
      <c r="BZ729" s="1"/>
      <c r="CA729" s="61"/>
    </row>
    <row r="730" spans="2:79" x14ac:dyDescent="0.3">
      <c r="B730" s="158">
        <f t="shared" si="1063"/>
        <v>44630</v>
      </c>
      <c r="C730" s="61"/>
      <c r="D730" s="17">
        <v>38038</v>
      </c>
      <c r="E730" s="16"/>
      <c r="F730" s="16"/>
      <c r="G730" s="16"/>
      <c r="H730" s="16">
        <f t="shared" ref="H730" si="1605">+H729+D730</f>
        <v>71290269</v>
      </c>
      <c r="I730" s="16"/>
      <c r="J730" s="436">
        <f t="shared" ref="J730" si="1606">+D730/H729</f>
        <v>5.3384995060716067E-4</v>
      </c>
      <c r="K730" s="16"/>
      <c r="L730" s="16"/>
      <c r="M730" s="16"/>
      <c r="N730" s="16">
        <f t="shared" ref="N730" si="1607">SUM(D724:D730)</f>
        <v>199435</v>
      </c>
      <c r="O730" s="16">
        <f t="shared" ref="O730" si="1608">+H730/BW730</f>
        <v>98876.933425797499</v>
      </c>
      <c r="P730" s="41"/>
      <c r="Q730" s="17">
        <f t="shared" ref="Q730" si="1609">SUM(D724:D730)</f>
        <v>199435</v>
      </c>
      <c r="R730" s="16"/>
      <c r="S730" s="60">
        <f t="shared" ref="S730" si="1610">+(Q730-Q723)/Q723</f>
        <v>-0.29858404963212021</v>
      </c>
      <c r="T730" s="16"/>
      <c r="U730" s="41"/>
      <c r="V730" s="10">
        <f t="shared" si="558"/>
        <v>622</v>
      </c>
      <c r="W730" s="34">
        <v>1247</v>
      </c>
      <c r="X730" s="33">
        <v>4256</v>
      </c>
      <c r="Y730" s="33"/>
      <c r="Z730" s="33">
        <f t="shared" ref="Z730" si="1611">SUM(W725:W730)</f>
        <v>4659</v>
      </c>
      <c r="AA730" s="33">
        <f t="shared" ref="AA730" si="1612">+AA729+W730</f>
        <v>872708</v>
      </c>
      <c r="AB730" s="33"/>
      <c r="AC730" s="46">
        <f t="shared" ref="AC730" si="1613">+AA730/H730</f>
        <v>1.2241614630462399E-2</v>
      </c>
      <c r="AD730" s="33"/>
      <c r="AE730" s="33">
        <f t="shared" ref="AE730" si="1614">+AA730/BW730</f>
        <v>1210.4133148404992</v>
      </c>
      <c r="AF730" s="50"/>
      <c r="AG730" s="33"/>
      <c r="AH730" s="33"/>
      <c r="AI730" s="213"/>
      <c r="AJ730" s="50"/>
      <c r="AL730" s="23">
        <f t="shared" ref="AL730" si="1615">+AP730-AP729</f>
        <v>170181</v>
      </c>
      <c r="AM730" s="24"/>
      <c r="AN730" s="24"/>
      <c r="AO730" s="24">
        <v>178263</v>
      </c>
      <c r="AP730" s="24">
        <v>55600175</v>
      </c>
      <c r="AQ730" s="24">
        <v>20336656</v>
      </c>
      <c r="AR730" s="461">
        <f t="shared" ref="AR730" si="1616">+AL730/AP729</f>
        <v>3.0701969767487256E-3</v>
      </c>
      <c r="AS730" s="25"/>
      <c r="AT730" s="25"/>
      <c r="AU730" s="24"/>
      <c r="AV730" s="298">
        <f t="shared" ref="AV730" si="1617">+AP730/H730</f>
        <v>0.77991254318313763</v>
      </c>
      <c r="AW730" s="298"/>
      <c r="AX730" s="24">
        <f t="shared" ref="AX730" si="1618">+AP730/BW730</f>
        <v>77115.360610263524</v>
      </c>
      <c r="AY730" s="308"/>
      <c r="BA730" s="65">
        <f t="shared" ref="BA730" si="1619">+BC730-BC729</f>
        <v>1168400</v>
      </c>
      <c r="BB730" s="66"/>
      <c r="BC730" s="66">
        <v>962617214</v>
      </c>
      <c r="BD730" s="66"/>
      <c r="BE730" s="66">
        <f t="shared" ref="BE730" si="1620">+D730</f>
        <v>38038</v>
      </c>
      <c r="BF730" s="66"/>
      <c r="BG730" s="144">
        <f t="shared" ref="BG730" si="1621">+BE730/BA730</f>
        <v>3.2555631633002395E-2</v>
      </c>
      <c r="BH730" s="66"/>
      <c r="BI730" s="170"/>
      <c r="BJ730" s="66"/>
      <c r="BK730" s="66"/>
      <c r="BL730" s="66"/>
      <c r="BM730" s="144"/>
      <c r="BN730" s="65">
        <f t="shared" ref="BN730" si="1622">+BC730/BW730</f>
        <v>1335114.027739251</v>
      </c>
      <c r="BO730" s="66"/>
      <c r="BP730" s="66">
        <f t="shared" ref="BP730" si="1623">+BP729+BE730</f>
        <v>70383291</v>
      </c>
      <c r="BQ730" s="66"/>
      <c r="BR730" s="435">
        <f t="shared" ref="BR730" si="1624">+BP730/BC730</f>
        <v>7.3116592947194067E-2</v>
      </c>
      <c r="BS730" s="66"/>
      <c r="BT730" s="75"/>
      <c r="BU730" s="170"/>
      <c r="BV730" s="1"/>
      <c r="BW730" s="61">
        <f t="shared" si="1544"/>
        <v>721</v>
      </c>
      <c r="BZ730" s="1"/>
      <c r="CA730" s="61"/>
    </row>
    <row r="731" spans="2:79" x14ac:dyDescent="0.3">
      <c r="B731" s="158">
        <f t="shared" si="1063"/>
        <v>44631</v>
      </c>
      <c r="C731" s="61"/>
      <c r="D731" s="17">
        <v>39254</v>
      </c>
      <c r="E731" s="16"/>
      <c r="F731" s="16"/>
      <c r="G731" s="16"/>
      <c r="H731" s="16">
        <f t="shared" ref="H731" si="1625">+H730+D731</f>
        <v>71329523</v>
      </c>
      <c r="I731" s="16"/>
      <c r="J731" s="436">
        <f t="shared" ref="J731" si="1626">+D731/H730</f>
        <v>5.5062213329563957E-4</v>
      </c>
      <c r="K731" s="16"/>
      <c r="L731" s="16"/>
      <c r="M731" s="16"/>
      <c r="N731" s="16">
        <f t="shared" ref="N731" si="1627">SUM(D725:D731)</f>
        <v>192991</v>
      </c>
      <c r="O731" s="16">
        <f t="shared" ref="O731" si="1628">+H731/BW731</f>
        <v>98794.353185595566</v>
      </c>
      <c r="P731" s="41"/>
      <c r="Q731" s="17">
        <f t="shared" ref="Q731" si="1629">SUM(D725:D731)</f>
        <v>192991</v>
      </c>
      <c r="R731" s="16"/>
      <c r="S731" s="60">
        <f t="shared" ref="S731" si="1630">+(Q731-Q724)/Q724</f>
        <v>-0.23951026906041645</v>
      </c>
      <c r="T731" s="16"/>
      <c r="U731" s="41"/>
      <c r="V731" s="10">
        <f t="shared" si="558"/>
        <v>623</v>
      </c>
      <c r="W731" s="34">
        <v>1022</v>
      </c>
      <c r="X731" s="33">
        <v>4256</v>
      </c>
      <c r="Y731" s="33"/>
      <c r="Z731" s="33">
        <f t="shared" ref="Z731" si="1631">SUM(W726:W731)</f>
        <v>5353</v>
      </c>
      <c r="AA731" s="33">
        <f t="shared" ref="AA731" si="1632">+AA730+W731</f>
        <v>873730</v>
      </c>
      <c r="AB731" s="33"/>
      <c r="AC731" s="46">
        <f t="shared" ref="AC731" si="1633">+AA731/H731</f>
        <v>1.2249205704067305E-2</v>
      </c>
      <c r="AD731" s="33"/>
      <c r="AE731" s="33">
        <f t="shared" ref="AE731" si="1634">+AA731/BW731</f>
        <v>1210.152354570637</v>
      </c>
      <c r="AF731" s="50"/>
      <c r="AG731" s="33"/>
      <c r="AH731" s="33"/>
      <c r="AI731" s="213"/>
      <c r="AJ731" s="50"/>
      <c r="AL731" s="23">
        <f t="shared" ref="AL731" si="1635">+AP731-AP730</f>
        <v>157198</v>
      </c>
      <c r="AM731" s="24"/>
      <c r="AN731" s="24"/>
      <c r="AO731" s="24">
        <v>178263</v>
      </c>
      <c r="AP731" s="24">
        <v>55757373</v>
      </c>
      <c r="AQ731" s="24">
        <v>20336656</v>
      </c>
      <c r="AR731" s="461">
        <f t="shared" ref="AR731" si="1636">+AL731/AP730</f>
        <v>2.8272932594186977E-3</v>
      </c>
      <c r="AS731" s="25"/>
      <c r="AT731" s="25"/>
      <c r="AU731" s="24"/>
      <c r="AV731" s="298">
        <f t="shared" ref="AV731" si="1637">+AP731/H731</f>
        <v>0.7816871704020788</v>
      </c>
      <c r="AW731" s="298"/>
      <c r="AX731" s="24">
        <f t="shared" ref="AX731" si="1638">+AP731/BW731</f>
        <v>77226.278393351808</v>
      </c>
      <c r="AY731" s="308"/>
      <c r="BA731" s="65">
        <f t="shared" ref="BA731" si="1639">+BC731-BC730</f>
        <v>1188666</v>
      </c>
      <c r="BB731" s="66"/>
      <c r="BC731" s="66">
        <v>963805880</v>
      </c>
      <c r="BD731" s="66"/>
      <c r="BE731" s="66">
        <f t="shared" ref="BE731" si="1640">+D731</f>
        <v>39254</v>
      </c>
      <c r="BF731" s="66"/>
      <c r="BG731" s="144">
        <f t="shared" ref="BG731" si="1641">+BE731/BA731</f>
        <v>3.3023574326177411E-2</v>
      </c>
      <c r="BH731" s="66"/>
      <c r="BI731" s="170"/>
      <c r="BJ731" s="66"/>
      <c r="BK731" s="66"/>
      <c r="BL731" s="66"/>
      <c r="BM731" s="144"/>
      <c r="BN731" s="65">
        <f t="shared" ref="BN731" si="1642">+BC731/BW731</f>
        <v>1334911.1911357341</v>
      </c>
      <c r="BO731" s="66"/>
      <c r="BP731" s="66">
        <f t="shared" ref="BP731" si="1643">+BP730+BE731</f>
        <v>70422545</v>
      </c>
      <c r="BQ731" s="66"/>
      <c r="BR731" s="435">
        <f t="shared" ref="BR731" si="1644">+BP731/BC731</f>
        <v>7.3067146052273518E-2</v>
      </c>
      <c r="BS731" s="66"/>
      <c r="BT731" s="75"/>
      <c r="BU731" s="170"/>
      <c r="BV731" s="1"/>
      <c r="BW731" s="61">
        <f t="shared" si="1544"/>
        <v>722</v>
      </c>
      <c r="BZ731" s="1"/>
      <c r="CA731" s="61"/>
    </row>
    <row r="732" spans="2:79" x14ac:dyDescent="0.3">
      <c r="B732" s="158">
        <f t="shared" si="1063"/>
        <v>44632</v>
      </c>
      <c r="C732" s="61"/>
      <c r="D732" s="17">
        <v>12261</v>
      </c>
      <c r="E732" s="16"/>
      <c r="F732" s="16"/>
      <c r="G732" s="16"/>
      <c r="H732" s="16">
        <f t="shared" ref="H732" si="1645">+H731+D732</f>
        <v>71341784</v>
      </c>
      <c r="I732" s="16"/>
      <c r="J732" s="436">
        <f t="shared" ref="J732" si="1646">+D732/H731</f>
        <v>1.71892359353083E-4</v>
      </c>
      <c r="K732" s="16"/>
      <c r="L732" s="16"/>
      <c r="M732" s="16"/>
      <c r="N732" s="16">
        <f t="shared" ref="N732" si="1647">SUM(D726:D732)</f>
        <v>189039</v>
      </c>
      <c r="O732" s="16">
        <f t="shared" ref="O732" si="1648">+H732/BW732</f>
        <v>98674.666666666672</v>
      </c>
      <c r="P732" s="41"/>
      <c r="Q732" s="17">
        <f t="shared" ref="Q732" si="1649">SUM(D726:D732)</f>
        <v>189039</v>
      </c>
      <c r="R732" s="16"/>
      <c r="S732" s="60">
        <f t="shared" ref="S732" si="1650">+(Q732-Q725)/Q725</f>
        <v>-0.22519284209490864</v>
      </c>
      <c r="T732" s="16"/>
      <c r="U732" s="41"/>
      <c r="V732" s="10">
        <f t="shared" si="558"/>
        <v>624</v>
      </c>
      <c r="W732" s="34">
        <v>460</v>
      </c>
      <c r="X732" s="33">
        <v>4256</v>
      </c>
      <c r="Y732" s="33"/>
      <c r="Z732" s="33">
        <f t="shared" ref="Z732" si="1651">SUM(W727:W732)</f>
        <v>5630</v>
      </c>
      <c r="AA732" s="33">
        <f t="shared" ref="AA732" si="1652">+AA731+W732</f>
        <v>874190</v>
      </c>
      <c r="AB732" s="33"/>
      <c r="AC732" s="46">
        <f t="shared" ref="AC732" si="1653">+AA732/H732</f>
        <v>1.2253548355336895E-2</v>
      </c>
      <c r="AD732" s="33"/>
      <c r="AE732" s="33">
        <f t="shared" ref="AE732" si="1654">+AA732/BW732</f>
        <v>1209.1147994467497</v>
      </c>
      <c r="AF732" s="50"/>
      <c r="AG732" s="33"/>
      <c r="AH732" s="33"/>
      <c r="AI732" s="213"/>
      <c r="AJ732" s="50"/>
      <c r="AL732" s="23">
        <f t="shared" ref="AL732" si="1655">+AP732-AP731</f>
        <v>157765</v>
      </c>
      <c r="AM732" s="24"/>
      <c r="AN732" s="24"/>
      <c r="AO732" s="24">
        <v>178263</v>
      </c>
      <c r="AP732" s="24">
        <v>55915138</v>
      </c>
      <c r="AQ732" s="24">
        <v>20336656</v>
      </c>
      <c r="AR732" s="461">
        <f t="shared" ref="AR732" si="1656">+AL732/AP731</f>
        <v>2.8294912674598212E-3</v>
      </c>
      <c r="AS732" s="25"/>
      <c r="AT732" s="25"/>
      <c r="AU732" s="24"/>
      <c r="AV732" s="298">
        <f t="shared" ref="AV732" si="1657">+AP732/H732</f>
        <v>0.78376422434291804</v>
      </c>
      <c r="AW732" s="298"/>
      <c r="AX732" s="24">
        <f t="shared" ref="AX732" si="1658">+AP732/BW732</f>
        <v>77337.673582295989</v>
      </c>
      <c r="AY732" s="308"/>
      <c r="BA732" s="65">
        <f t="shared" ref="BA732" si="1659">+BC732-BC731</f>
        <v>348507</v>
      </c>
      <c r="BB732" s="66"/>
      <c r="BC732" s="66">
        <v>964154387</v>
      </c>
      <c r="BD732" s="66"/>
      <c r="BE732" s="66">
        <f t="shared" ref="BE732" si="1660">+D732</f>
        <v>12261</v>
      </c>
      <c r="BF732" s="66"/>
      <c r="BG732" s="144">
        <f t="shared" ref="BG732" si="1661">+BE732/BA732</f>
        <v>3.5181502810560476E-2</v>
      </c>
      <c r="BH732" s="66"/>
      <c r="BI732" s="170"/>
      <c r="BJ732" s="66"/>
      <c r="BK732" s="66"/>
      <c r="BL732" s="66"/>
      <c r="BM732" s="144"/>
      <c r="BN732" s="65">
        <f t="shared" ref="BN732" si="1662">+BC732/BW732</f>
        <v>1333546.8699861688</v>
      </c>
      <c r="BO732" s="66"/>
      <c r="BP732" s="66">
        <f t="shared" ref="BP732" si="1663">+BP731+BE732</f>
        <v>70434806</v>
      </c>
      <c r="BQ732" s="66"/>
      <c r="BR732" s="435">
        <f t="shared" ref="BR732" si="1664">+BP732/BC732</f>
        <v>7.3053451760106969E-2</v>
      </c>
      <c r="BS732" s="66"/>
      <c r="BT732" s="75"/>
      <c r="BU732" s="170"/>
      <c r="BV732" s="1"/>
      <c r="BW732" s="61">
        <f t="shared" si="1544"/>
        <v>723</v>
      </c>
      <c r="BZ732" s="1"/>
      <c r="CA732" s="61"/>
    </row>
    <row r="733" spans="2:79" x14ac:dyDescent="0.3">
      <c r="B733" s="347">
        <f t="shared" si="1063"/>
        <v>44633</v>
      </c>
      <c r="C733" s="61"/>
      <c r="D733" s="17">
        <v>5143</v>
      </c>
      <c r="E733" s="16"/>
      <c r="F733" s="16"/>
      <c r="G733" s="16"/>
      <c r="H733" s="16">
        <f t="shared" ref="H733" si="1665">+H732+D733</f>
        <v>71346927</v>
      </c>
      <c r="I733" s="16"/>
      <c r="J733" s="436">
        <f t="shared" ref="J733" si="1666">+D733/H732</f>
        <v>7.2089590582708165E-5</v>
      </c>
      <c r="K733" s="16"/>
      <c r="L733" s="16"/>
      <c r="M733" s="16"/>
      <c r="N733" s="16">
        <f t="shared" ref="N733" si="1667">SUM(D727:D733)</f>
        <v>189279</v>
      </c>
      <c r="O733" s="16">
        <f t="shared" ref="O733" si="1668">+H733/BW733</f>
        <v>98545.479281767955</v>
      </c>
      <c r="P733" s="41"/>
      <c r="Q733" s="17">
        <f t="shared" ref="Q733" si="1669">SUM(D727:D733)</f>
        <v>189279</v>
      </c>
      <c r="R733" s="16"/>
      <c r="S733" s="60">
        <f t="shared" ref="S733" si="1670">+(Q733-Q726)/Q726</f>
        <v>-0.21597955438839206</v>
      </c>
      <c r="T733" s="16"/>
      <c r="U733" s="41"/>
      <c r="V733" s="10">
        <f t="shared" si="558"/>
        <v>625</v>
      </c>
      <c r="W733" s="34">
        <v>118</v>
      </c>
      <c r="X733" s="33">
        <v>4256</v>
      </c>
      <c r="Y733" s="33"/>
      <c r="Z733" s="33">
        <f t="shared" ref="Z733" si="1671">SUM(W728:W733)</f>
        <v>5240</v>
      </c>
      <c r="AA733" s="33">
        <f t="shared" ref="AA733" si="1672">+AA732+W733</f>
        <v>874308</v>
      </c>
      <c r="AB733" s="33"/>
      <c r="AC733" s="46">
        <f t="shared" ref="AC733" si="1673">+AA733/H733</f>
        <v>1.225431895616191E-2</v>
      </c>
      <c r="AD733" s="33"/>
      <c r="AE733" s="33">
        <f t="shared" ref="AE733" si="1674">+AA733/BW733</f>
        <v>1207.6077348066299</v>
      </c>
      <c r="AF733" s="50"/>
      <c r="AG733" s="33"/>
      <c r="AH733" s="33"/>
      <c r="AI733" s="213"/>
      <c r="AJ733" s="50"/>
      <c r="AL733" s="23">
        <f t="shared" ref="AL733" si="1675">+AP733-AP732</f>
        <v>155965</v>
      </c>
      <c r="AM733" s="24"/>
      <c r="AN733" s="24"/>
      <c r="AO733" s="24">
        <v>178263</v>
      </c>
      <c r="AP733" s="24">
        <v>56071103</v>
      </c>
      <c r="AQ733" s="24">
        <v>20336656</v>
      </c>
      <c r="AR733" s="461">
        <f t="shared" ref="AR733" si="1676">+AL733/AP732</f>
        <v>2.78931619555334E-3</v>
      </c>
      <c r="AS733" s="25"/>
      <c r="AT733" s="25"/>
      <c r="AU733" s="24"/>
      <c r="AV733" s="298">
        <f t="shared" ref="AV733" si="1677">+AP733/H733</f>
        <v>0.78589373582971556</v>
      </c>
      <c r="AW733" s="298"/>
      <c r="AX733" s="24">
        <f t="shared" ref="AX733" si="1678">+AP733/BW733</f>
        <v>77446.274861878454</v>
      </c>
      <c r="AY733" s="308"/>
      <c r="BA733" s="65">
        <f t="shared" ref="BA733" si="1679">+BC733-BC732</f>
        <v>232268</v>
      </c>
      <c r="BB733" s="66"/>
      <c r="BC733" s="66">
        <v>964386655</v>
      </c>
      <c r="BD733" s="66"/>
      <c r="BE733" s="66">
        <f t="shared" ref="BE733" si="1680">+D733</f>
        <v>5143</v>
      </c>
      <c r="BF733" s="66"/>
      <c r="BG733" s="144">
        <f t="shared" ref="BG733" si="1681">+BE733/BA733</f>
        <v>2.2142525014207725E-2</v>
      </c>
      <c r="BH733" s="66"/>
      <c r="BI733" s="170"/>
      <c r="BJ733" s="66"/>
      <c r="BK733" s="66"/>
      <c r="BL733" s="66"/>
      <c r="BM733" s="144"/>
      <c r="BN733" s="65">
        <f t="shared" ref="BN733" si="1682">+BC733/BW733</f>
        <v>1332025.7665745856</v>
      </c>
      <c r="BO733" s="66"/>
      <c r="BP733" s="66">
        <f t="shared" ref="BP733" si="1683">+BP732+BE733</f>
        <v>70439949</v>
      </c>
      <c r="BQ733" s="66"/>
      <c r="BR733" s="435">
        <f t="shared" ref="BR733" si="1684">+BP733/BC733</f>
        <v>7.3041190102324668E-2</v>
      </c>
      <c r="BS733" s="66"/>
      <c r="BT733" s="75"/>
      <c r="BU733" s="170"/>
      <c r="BV733" s="1"/>
      <c r="BW733" s="61">
        <f t="shared" si="1544"/>
        <v>724</v>
      </c>
      <c r="BZ733" s="1"/>
      <c r="CA733" s="61"/>
    </row>
    <row r="734" spans="2:79" x14ac:dyDescent="0.3">
      <c r="B734" s="158">
        <f t="shared" si="1063"/>
        <v>44634</v>
      </c>
      <c r="C734" s="61"/>
      <c r="D734" s="17">
        <v>19474</v>
      </c>
      <c r="E734" s="16"/>
      <c r="F734" s="16"/>
      <c r="G734" s="16"/>
      <c r="H734" s="16">
        <f t="shared" ref="H734" si="1685">+H733+D734</f>
        <v>71366401</v>
      </c>
      <c r="I734" s="16"/>
      <c r="J734" s="436">
        <f t="shared" ref="J734" si="1686">+D734/H733</f>
        <v>2.7294798555234199E-4</v>
      </c>
      <c r="K734" s="16"/>
      <c r="L734" s="16"/>
      <c r="M734" s="16"/>
      <c r="N734" s="16">
        <f t="shared" ref="N734" si="1687">SUM(D728:D734)</f>
        <v>183002</v>
      </c>
      <c r="O734" s="16">
        <f t="shared" ref="O734" si="1688">+H734/BW734</f>
        <v>98436.415172413792</v>
      </c>
      <c r="P734" s="41"/>
      <c r="Q734" s="17">
        <f t="shared" ref="Q734" si="1689">SUM(D728:D734)</f>
        <v>183002</v>
      </c>
      <c r="R734" s="16"/>
      <c r="S734" s="60">
        <f t="shared" ref="S734" si="1690">+(Q734-Q727)/Q727</f>
        <v>-0.21878815303047119</v>
      </c>
      <c r="T734" s="16"/>
      <c r="U734" s="41"/>
      <c r="V734" s="10">
        <f t="shared" si="558"/>
        <v>626</v>
      </c>
      <c r="W734" s="34">
        <v>408</v>
      </c>
      <c r="X734" s="33">
        <v>4256</v>
      </c>
      <c r="Y734" s="33"/>
      <c r="Z734" s="33">
        <f t="shared" ref="Z734" si="1691">SUM(W729:W734)</f>
        <v>4520</v>
      </c>
      <c r="AA734" s="33">
        <f t="shared" ref="AA734" si="1692">+AA733+W734</f>
        <v>874716</v>
      </c>
      <c r="AB734" s="33"/>
      <c r="AC734" s="46">
        <f t="shared" ref="AC734" si="1693">+AA734/H734</f>
        <v>1.225669205316939E-2</v>
      </c>
      <c r="AD734" s="33"/>
      <c r="AE734" s="33">
        <f t="shared" ref="AE734" si="1694">+AA734/BW734</f>
        <v>1206.5048275862068</v>
      </c>
      <c r="AF734" s="50"/>
      <c r="AG734" s="33"/>
      <c r="AH734" s="33"/>
      <c r="AI734" s="213"/>
      <c r="AJ734" s="50"/>
      <c r="AL734" s="23">
        <f t="shared" ref="AL734" si="1695">+AP734-AP733</f>
        <v>210903</v>
      </c>
      <c r="AM734" s="24"/>
      <c r="AN734" s="24"/>
      <c r="AO734" s="24">
        <v>178263</v>
      </c>
      <c r="AP734" s="24">
        <v>56282006</v>
      </c>
      <c r="AQ734" s="24">
        <v>20336656</v>
      </c>
      <c r="AR734" s="461">
        <f t="shared" ref="AR734" si="1696">+AL734/AP733</f>
        <v>3.7613492283181944E-3</v>
      </c>
      <c r="AS734" s="25"/>
      <c r="AT734" s="25"/>
      <c r="AU734" s="24"/>
      <c r="AV734" s="298">
        <f t="shared" ref="AV734" si="1697">+AP734/H734</f>
        <v>0.78863450042828975</v>
      </c>
      <c r="AW734" s="298"/>
      <c r="AX734" s="24">
        <f t="shared" ref="AX734" si="1698">+AP734/BW734</f>
        <v>77630.353103448273</v>
      </c>
      <c r="AY734" s="308"/>
      <c r="BA734" s="65">
        <f t="shared" ref="BA734" si="1699">+BC734-BC733</f>
        <v>2389969</v>
      </c>
      <c r="BB734" s="66"/>
      <c r="BC734" s="66">
        <v>966776624</v>
      </c>
      <c r="BD734" s="66"/>
      <c r="BE734" s="66">
        <f t="shared" ref="BE734" si="1700">+D734</f>
        <v>19474</v>
      </c>
      <c r="BF734" s="66"/>
      <c r="BG734" s="144">
        <f t="shared" ref="BG734" si="1701">+BE734/BA734</f>
        <v>8.1482228430577973E-3</v>
      </c>
      <c r="BH734" s="66"/>
      <c r="BI734" s="170"/>
      <c r="BJ734" s="66"/>
      <c r="BK734" s="66"/>
      <c r="BL734" s="66"/>
      <c r="BM734" s="144"/>
      <c r="BN734" s="65">
        <f t="shared" ref="BN734" si="1702">+BC734/BW734</f>
        <v>1333484.9986206896</v>
      </c>
      <c r="BO734" s="66"/>
      <c r="BP734" s="66">
        <f t="shared" ref="BP734" si="1703">+BP733+BE734</f>
        <v>70459423</v>
      </c>
      <c r="BQ734" s="66"/>
      <c r="BR734" s="435">
        <f t="shared" ref="BR734" si="1704">+BP734/BC734</f>
        <v>7.2880768163877327E-2</v>
      </c>
      <c r="BS734" s="66"/>
      <c r="BT734" s="75"/>
      <c r="BU734" s="170"/>
      <c r="BV734" s="1"/>
      <c r="BW734" s="61">
        <f t="shared" si="1544"/>
        <v>725</v>
      </c>
      <c r="BZ734" s="1"/>
      <c r="CA734" s="61"/>
    </row>
    <row r="735" spans="2:79" x14ac:dyDescent="0.3">
      <c r="B735" s="158">
        <f t="shared" si="1063"/>
        <v>44635</v>
      </c>
      <c r="C735" s="61"/>
      <c r="D735" s="17">
        <v>25359</v>
      </c>
      <c r="E735" s="16"/>
      <c r="F735" s="16"/>
      <c r="G735" s="16"/>
      <c r="H735" s="16">
        <f t="shared" ref="H735" si="1705">+H734+D735</f>
        <v>71391760</v>
      </c>
      <c r="I735" s="16"/>
      <c r="J735" s="436">
        <f t="shared" ref="J735" si="1706">+D735/H734</f>
        <v>3.5533527885201887E-4</v>
      </c>
      <c r="K735" s="16"/>
      <c r="L735" s="16"/>
      <c r="M735" s="16"/>
      <c r="N735" s="16">
        <f t="shared" ref="N735" si="1707">SUM(D729:D735)</f>
        <v>178729</v>
      </c>
      <c r="O735" s="16">
        <f t="shared" ref="O735" si="1708">+H735/BW735</f>
        <v>98335.757575757569</v>
      </c>
      <c r="P735" s="41"/>
      <c r="Q735" s="17">
        <f t="shared" ref="Q735" si="1709">SUM(D729:D735)</f>
        <v>178729</v>
      </c>
      <c r="R735" s="16"/>
      <c r="S735" s="60">
        <f t="shared" ref="S735" si="1710">+(Q735-Q728)/Q728</f>
        <v>-0.19486726700212176</v>
      </c>
      <c r="T735" s="16"/>
      <c r="U735" s="41"/>
      <c r="V735" s="10">
        <f t="shared" si="558"/>
        <v>627</v>
      </c>
      <c r="W735" s="34">
        <v>901</v>
      </c>
      <c r="X735" s="33">
        <v>4256</v>
      </c>
      <c r="Y735" s="33"/>
      <c r="Z735" s="33">
        <f t="shared" ref="Z735" si="1711">SUM(W730:W735)</f>
        <v>4156</v>
      </c>
      <c r="AA735" s="33">
        <f t="shared" ref="AA735" si="1712">+AA734+W735</f>
        <v>875617</v>
      </c>
      <c r="AB735" s="33"/>
      <c r="AC735" s="46">
        <f t="shared" ref="AC735" si="1713">+AA735/H735</f>
        <v>1.2264958869202832E-2</v>
      </c>
      <c r="AD735" s="33"/>
      <c r="AE735" s="33">
        <f t="shared" ref="AE735" si="1714">+AA735/BW735</f>
        <v>1206.0840220385676</v>
      </c>
      <c r="AF735" s="50"/>
      <c r="AG735" s="33"/>
      <c r="AH735" s="33"/>
      <c r="AI735" s="213"/>
      <c r="AJ735" s="50"/>
      <c r="AL735" s="23">
        <f t="shared" ref="AL735" si="1715">+AP735-AP734</f>
        <v>174444</v>
      </c>
      <c r="AM735" s="24"/>
      <c r="AN735" s="24"/>
      <c r="AO735" s="24">
        <v>178263</v>
      </c>
      <c r="AP735" s="24">
        <v>56456450</v>
      </c>
      <c r="AQ735" s="24">
        <v>20336656</v>
      </c>
      <c r="AR735" s="461">
        <f t="shared" ref="AR735" si="1716">+AL735/AP734</f>
        <v>3.0994630859461549E-3</v>
      </c>
      <c r="AS735" s="25"/>
      <c r="AT735" s="25"/>
      <c r="AU735" s="24"/>
      <c r="AV735" s="298">
        <f t="shared" ref="AV735" si="1717">+AP735/H735</f>
        <v>0.79079784557769695</v>
      </c>
      <c r="AW735" s="298"/>
      <c r="AX735" s="24">
        <f t="shared" ref="AX735" si="1718">+AP735/BW735</f>
        <v>77763.705234159774</v>
      </c>
      <c r="AY735" s="308"/>
      <c r="BA735" s="65">
        <f t="shared" ref="BA735" si="1719">+BC735-BC734</f>
        <v>630014</v>
      </c>
      <c r="BB735" s="66"/>
      <c r="BC735" s="66">
        <v>967406638</v>
      </c>
      <c r="BD735" s="66"/>
      <c r="BE735" s="66">
        <f t="shared" ref="BE735" si="1720">+D735</f>
        <v>25359</v>
      </c>
      <c r="BF735" s="66"/>
      <c r="BG735" s="144">
        <f t="shared" ref="BG735" si="1721">+BE735/BA735</f>
        <v>4.025148647490373E-2</v>
      </c>
      <c r="BH735" s="66"/>
      <c r="BI735" s="170"/>
      <c r="BJ735" s="66"/>
      <c r="BK735" s="66"/>
      <c r="BL735" s="66"/>
      <c r="BM735" s="144"/>
      <c r="BN735" s="65">
        <f t="shared" ref="BN735" si="1722">+BC735/BW735</f>
        <v>1332516.0303030303</v>
      </c>
      <c r="BO735" s="66"/>
      <c r="BP735" s="66">
        <f t="shared" ref="BP735" si="1723">+BP734+BE735</f>
        <v>70484782</v>
      </c>
      <c r="BQ735" s="66"/>
      <c r="BR735" s="435">
        <f t="shared" ref="BR735" si="1724">+BP735/BC735</f>
        <v>7.2859518667061279E-2</v>
      </c>
      <c r="BS735" s="66"/>
      <c r="BT735" s="75"/>
      <c r="BU735" s="170"/>
      <c r="BV735" s="1"/>
      <c r="BW735" s="61">
        <f t="shared" si="1544"/>
        <v>726</v>
      </c>
      <c r="BZ735" s="1"/>
      <c r="CA735" s="61"/>
    </row>
    <row r="736" spans="2:79" x14ac:dyDescent="0.3">
      <c r="B736" s="158">
        <f t="shared" si="1063"/>
        <v>44636</v>
      </c>
      <c r="C736" s="61"/>
      <c r="D736" s="17">
        <v>30508</v>
      </c>
      <c r="E736" s="16"/>
      <c r="F736" s="16"/>
      <c r="G736" s="16"/>
      <c r="H736" s="16">
        <f t="shared" ref="H736" si="1725">+H735+D736</f>
        <v>71422268</v>
      </c>
      <c r="I736" s="16"/>
      <c r="J736" s="436">
        <f t="shared" ref="J736" si="1726">+D736/H735</f>
        <v>4.2733222993802087E-4</v>
      </c>
      <c r="K736" s="16"/>
      <c r="L736" s="16"/>
      <c r="M736" s="16"/>
      <c r="N736" s="16">
        <f t="shared" ref="N736" si="1727">SUM(D730:D736)</f>
        <v>170037</v>
      </c>
      <c r="O736" s="16">
        <f t="shared" ref="O736" si="1728">+H736/BW736</f>
        <v>98242.459422283355</v>
      </c>
      <c r="P736" s="41"/>
      <c r="Q736" s="17">
        <f t="shared" ref="Q736" si="1729">SUM(D730:D736)</f>
        <v>170037</v>
      </c>
      <c r="R736" s="16"/>
      <c r="S736" s="60">
        <f t="shared" ref="S736" si="1730">+(Q736-Q729)/Q729</f>
        <v>-0.19217722625517844</v>
      </c>
      <c r="T736" s="16"/>
      <c r="U736" s="41"/>
      <c r="V736" s="10">
        <f t="shared" si="558"/>
        <v>628</v>
      </c>
      <c r="W736" s="34">
        <v>982</v>
      </c>
      <c r="X736" s="33">
        <v>4256</v>
      </c>
      <c r="Y736" s="33"/>
      <c r="Z736" s="33">
        <f t="shared" ref="Z736" si="1731">SUM(W731:W736)</f>
        <v>3891</v>
      </c>
      <c r="AA736" s="33">
        <f t="shared" ref="AA736" si="1732">+AA735+W736</f>
        <v>876599</v>
      </c>
      <c r="AB736" s="33"/>
      <c r="AC736" s="46">
        <f t="shared" ref="AC736" si="1733">+AA736/H736</f>
        <v>1.227346910910194E-2</v>
      </c>
      <c r="AD736" s="33"/>
      <c r="AE736" s="33">
        <f t="shared" ref="AE736" si="1734">+AA736/BW736</f>
        <v>1205.7757909215957</v>
      </c>
      <c r="AF736" s="50"/>
      <c r="AG736" s="33"/>
      <c r="AH736" s="33"/>
      <c r="AI736" s="213"/>
      <c r="AJ736" s="50"/>
      <c r="AL736" s="23">
        <f t="shared" ref="AL736" si="1735">+AP736-AP735</f>
        <v>174667</v>
      </c>
      <c r="AM736" s="24"/>
      <c r="AN736" s="24"/>
      <c r="AO736" s="24">
        <v>178263</v>
      </c>
      <c r="AP736" s="24">
        <v>56631117</v>
      </c>
      <c r="AQ736" s="24">
        <v>20336656</v>
      </c>
      <c r="AR736" s="461">
        <f t="shared" ref="AR736" si="1736">+AL736/AP735</f>
        <v>3.0938360453057179E-3</v>
      </c>
      <c r="AS736" s="25"/>
      <c r="AT736" s="25"/>
      <c r="AU736" s="24"/>
      <c r="AV736" s="298">
        <f t="shared" ref="AV736" si="1737">+AP736/H736</f>
        <v>0.79290561033430074</v>
      </c>
      <c r="AW736" s="298"/>
      <c r="AX736" s="24">
        <f t="shared" ref="AX736" si="1738">+AP736/BW736</f>
        <v>77896.997248968357</v>
      </c>
      <c r="AY736" s="308"/>
      <c r="BA736" s="65">
        <f t="shared" ref="BA736" si="1739">+BC736-BC735</f>
        <v>1301559</v>
      </c>
      <c r="BB736" s="66"/>
      <c r="BC736" s="66">
        <v>968708197</v>
      </c>
      <c r="BD736" s="66"/>
      <c r="BE736" s="66">
        <f t="shared" ref="BE736" si="1740">+D736</f>
        <v>30508</v>
      </c>
      <c r="BF736" s="66"/>
      <c r="BG736" s="144">
        <f t="shared" ref="BG736" si="1741">+BE736/BA736</f>
        <v>2.3439582838734162E-2</v>
      </c>
      <c r="BH736" s="66"/>
      <c r="BI736" s="170"/>
      <c r="BJ736" s="66"/>
      <c r="BK736" s="66"/>
      <c r="BL736" s="66"/>
      <c r="BM736" s="144"/>
      <c r="BN736" s="65">
        <f t="shared" ref="BN736" si="1742">+BC736/BW736</f>
        <v>1332473.4484181567</v>
      </c>
      <c r="BO736" s="66"/>
      <c r="BP736" s="66">
        <f t="shared" ref="BP736" si="1743">+BP735+BE736</f>
        <v>70515290</v>
      </c>
      <c r="BQ736" s="66"/>
      <c r="BR736" s="435">
        <f t="shared" ref="BR736" si="1744">+BP736/BC736</f>
        <v>7.2793117905246757E-2</v>
      </c>
      <c r="BS736" s="66"/>
      <c r="BT736" s="75"/>
      <c r="BU736" s="170"/>
      <c r="BV736" s="1"/>
      <c r="BW736" s="61">
        <f t="shared" si="1544"/>
        <v>727</v>
      </c>
      <c r="BZ736" s="1"/>
      <c r="CA736" s="61"/>
    </row>
    <row r="737" spans="2:93" x14ac:dyDescent="0.3">
      <c r="B737" s="158">
        <f t="shared" si="1063"/>
        <v>44637</v>
      </c>
      <c r="C737" s="61"/>
      <c r="D737" s="17">
        <v>35474</v>
      </c>
      <c r="E737" s="16"/>
      <c r="F737" s="16"/>
      <c r="G737" s="16"/>
      <c r="H737" s="16">
        <f t="shared" ref="H737" si="1745">+H736+D737</f>
        <v>71457742</v>
      </c>
      <c r="I737" s="16"/>
      <c r="J737" s="436">
        <f t="shared" ref="J737" si="1746">+D737/H736</f>
        <v>4.9667983100172629E-4</v>
      </c>
      <c r="K737" s="16"/>
      <c r="L737" s="16"/>
      <c r="M737" s="16"/>
      <c r="N737" s="16">
        <f t="shared" ref="N737" si="1747">SUM(D731:D737)</f>
        <v>167473</v>
      </c>
      <c r="O737" s="16">
        <f t="shared" ref="O737" si="1748">+H737/BW737</f>
        <v>98156.239010989011</v>
      </c>
      <c r="P737" s="41"/>
      <c r="Q737" s="17">
        <f t="shared" ref="Q737" si="1749">SUM(D731:D737)</f>
        <v>167473</v>
      </c>
      <c r="R737" s="16"/>
      <c r="S737" s="60">
        <f t="shared" ref="S737" si="1750">+(Q737-Q730)/Q730</f>
        <v>-0.16026274224684733</v>
      </c>
      <c r="T737" s="16"/>
      <c r="U737" s="41"/>
      <c r="V737" s="10">
        <f t="shared" si="558"/>
        <v>629</v>
      </c>
      <c r="W737" s="34">
        <v>931</v>
      </c>
      <c r="X737" s="33">
        <v>4256</v>
      </c>
      <c r="Y737" s="33"/>
      <c r="Z737" s="33">
        <f t="shared" ref="Z737" si="1751">SUM(W732:W737)</f>
        <v>3800</v>
      </c>
      <c r="AA737" s="33">
        <f t="shared" ref="AA737" si="1752">+AA736+W737</f>
        <v>877530</v>
      </c>
      <c r="AB737" s="33"/>
      <c r="AC737" s="46">
        <f t="shared" ref="AC737" si="1753">+AA737/H737</f>
        <v>1.2280404830032272E-2</v>
      </c>
      <c r="AD737" s="33"/>
      <c r="AE737" s="33">
        <f t="shared" ref="AE737" si="1754">+AA737/BW737</f>
        <v>1205.3983516483515</v>
      </c>
      <c r="AF737" s="50"/>
      <c r="AG737" s="33"/>
      <c r="AH737" s="33"/>
      <c r="AI737" s="213"/>
      <c r="AJ737" s="50"/>
      <c r="AL737" s="23">
        <f t="shared" ref="AL737" si="1755">+AP737-AP736</f>
        <v>191463</v>
      </c>
      <c r="AM737" s="24"/>
      <c r="AN737" s="24"/>
      <c r="AO737" s="24">
        <v>178263</v>
      </c>
      <c r="AP737" s="24">
        <v>56822580</v>
      </c>
      <c r="AQ737" s="24">
        <v>20336656</v>
      </c>
      <c r="AR737" s="461">
        <f t="shared" ref="AR737" si="1756">+AL737/AP736</f>
        <v>3.3808798085335312E-3</v>
      </c>
      <c r="AS737" s="25"/>
      <c r="AT737" s="25"/>
      <c r="AU737" s="24"/>
      <c r="AV737" s="298">
        <f t="shared" ref="AV737" si="1757">+AP737/H737</f>
        <v>0.79519137338540591</v>
      </c>
      <c r="AW737" s="298"/>
      <c r="AX737" s="24">
        <f t="shared" ref="AX737" si="1758">+AP737/BW737</f>
        <v>78052.994505494498</v>
      </c>
      <c r="AY737" s="308"/>
      <c r="BA737" s="65">
        <f t="shared" ref="BA737" si="1759">+BC737-BC736</f>
        <v>992876</v>
      </c>
      <c r="BB737" s="66"/>
      <c r="BC737" s="66">
        <v>969701073</v>
      </c>
      <c r="BD737" s="66"/>
      <c r="BE737" s="66">
        <f t="shared" ref="BE737" si="1760">+D737</f>
        <v>35474</v>
      </c>
      <c r="BF737" s="66"/>
      <c r="BG737" s="144">
        <f t="shared" ref="BG737" si="1761">+BE737/BA737</f>
        <v>3.5728530048062396E-2</v>
      </c>
      <c r="BH737" s="66"/>
      <c r="BI737" s="170"/>
      <c r="BJ737" s="66"/>
      <c r="BK737" s="66"/>
      <c r="BL737" s="66"/>
      <c r="BM737" s="144"/>
      <c r="BN737" s="65">
        <f t="shared" ref="BN737" si="1762">+BC737/BW737</f>
        <v>1332006.9684065934</v>
      </c>
      <c r="BO737" s="66"/>
      <c r="BP737" s="66">
        <f t="shared" ref="BP737" si="1763">+BP736+BE737</f>
        <v>70550764</v>
      </c>
      <c r="BQ737" s="66"/>
      <c r="BR737" s="435">
        <f t="shared" ref="BR737" si="1764">+BP737/BC737</f>
        <v>7.275516750923508E-2</v>
      </c>
      <c r="BS737" s="66"/>
      <c r="BT737" s="75"/>
      <c r="BU737" s="170"/>
      <c r="BV737" s="1"/>
      <c r="BW737" s="61">
        <f t="shared" si="1544"/>
        <v>728</v>
      </c>
      <c r="BZ737" s="1"/>
      <c r="CA737" s="61"/>
    </row>
    <row r="738" spans="2:93" x14ac:dyDescent="0.3">
      <c r="B738" s="158">
        <f t="shared" si="1063"/>
        <v>44638</v>
      </c>
      <c r="C738" s="61"/>
      <c r="D738" s="17">
        <v>32236</v>
      </c>
      <c r="E738" s="16"/>
      <c r="F738" s="16"/>
      <c r="G738" s="16"/>
      <c r="H738" s="16">
        <f t="shared" ref="H738" si="1765">+H737+D738</f>
        <v>71489978</v>
      </c>
      <c r="I738" s="16"/>
      <c r="J738" s="436">
        <f t="shared" ref="J738" si="1766">+D738/H737</f>
        <v>4.5111976810014511E-4</v>
      </c>
      <c r="K738" s="16"/>
      <c r="L738" s="16"/>
      <c r="M738" s="16"/>
      <c r="N738" s="16">
        <f t="shared" ref="N738" si="1767">SUM(D732:D738)</f>
        <v>160455</v>
      </c>
      <c r="O738" s="16">
        <f t="shared" ref="O738" si="1768">+H738/BW738</f>
        <v>98065.813443072708</v>
      </c>
      <c r="P738" s="41"/>
      <c r="Q738" s="17">
        <f t="shared" ref="Q738" si="1769">SUM(D732:D738)</f>
        <v>160455</v>
      </c>
      <c r="R738" s="16"/>
      <c r="S738" s="60">
        <f t="shared" ref="S738" si="1770">+(Q738-Q731)/Q731</f>
        <v>-0.16858817250545363</v>
      </c>
      <c r="T738" s="16"/>
      <c r="U738" s="41"/>
      <c r="V738" s="10">
        <f t="shared" si="558"/>
        <v>630</v>
      </c>
      <c r="W738" s="34">
        <v>721</v>
      </c>
      <c r="X738" s="33">
        <v>4256</v>
      </c>
      <c r="Y738" s="33"/>
      <c r="Z738" s="33">
        <f t="shared" ref="Z738" si="1771">SUM(W733:W738)</f>
        <v>4061</v>
      </c>
      <c r="AA738" s="33">
        <f t="shared" ref="AA738" si="1772">+AA737+W738</f>
        <v>878251</v>
      </c>
      <c r="AB738" s="33"/>
      <c r="AC738" s="46">
        <f t="shared" ref="AC738" si="1773">+AA738/H738</f>
        <v>1.2284952724422435E-2</v>
      </c>
      <c r="AD738" s="33"/>
      <c r="AE738" s="33">
        <f t="shared" ref="AE738" si="1774">+AA738/BW738</f>
        <v>1204.7338820301784</v>
      </c>
      <c r="AF738" s="50"/>
      <c r="AG738" s="33"/>
      <c r="AH738" s="33"/>
      <c r="AI738" s="213"/>
      <c r="AJ738" s="50"/>
      <c r="AL738" s="23">
        <f t="shared" ref="AL738" si="1775">+AP738-AP737</f>
        <v>152897</v>
      </c>
      <c r="AM738" s="24"/>
      <c r="AN738" s="24"/>
      <c r="AO738" s="24">
        <v>178263</v>
      </c>
      <c r="AP738" s="24">
        <v>56975477</v>
      </c>
      <c r="AQ738" s="24">
        <v>20336656</v>
      </c>
      <c r="AR738" s="461">
        <f t="shared" ref="AR738" si="1776">+AL738/AP737</f>
        <v>2.6907789121859657E-3</v>
      </c>
      <c r="AS738" s="25"/>
      <c r="AT738" s="25"/>
      <c r="AU738" s="24"/>
      <c r="AV738" s="298">
        <f t="shared" ref="AV738" si="1777">+AP738/H738</f>
        <v>0.79697152795319082</v>
      </c>
      <c r="AW738" s="298"/>
      <c r="AX738" s="24">
        <f t="shared" ref="AX738" si="1778">+AP738/BW738</f>
        <v>78155.661179698218</v>
      </c>
      <c r="AY738" s="308"/>
      <c r="BA738" s="65">
        <f t="shared" ref="BA738" si="1779">+BC738-BC737</f>
        <v>1217534</v>
      </c>
      <c r="BB738" s="66"/>
      <c r="BC738" s="66">
        <v>970918607</v>
      </c>
      <c r="BD738" s="66"/>
      <c r="BE738" s="66">
        <f t="shared" ref="BE738" si="1780">+D738</f>
        <v>32236</v>
      </c>
      <c r="BF738" s="66"/>
      <c r="BG738" s="144">
        <f t="shared" ref="BG738" si="1781">+BE738/BA738</f>
        <v>2.6476468008285601E-2</v>
      </c>
      <c r="BH738" s="66"/>
      <c r="BI738" s="170"/>
      <c r="BJ738" s="66"/>
      <c r="BK738" s="66"/>
      <c r="BL738" s="66"/>
      <c r="BM738" s="144"/>
      <c r="BN738" s="65">
        <f t="shared" ref="BN738" si="1782">+BC738/BW738</f>
        <v>1331849.9410150892</v>
      </c>
      <c r="BO738" s="66"/>
      <c r="BP738" s="66">
        <f t="shared" ref="BP738" si="1783">+BP737+BE738</f>
        <v>70583000</v>
      </c>
      <c r="BQ738" s="66"/>
      <c r="BR738" s="435">
        <f t="shared" ref="BR738" si="1784">+BP738/BC738</f>
        <v>7.2697133921546114E-2</v>
      </c>
      <c r="BS738" s="66"/>
      <c r="BT738" s="75"/>
      <c r="BU738" s="170"/>
      <c r="BV738" s="1"/>
      <c r="BW738" s="61">
        <f t="shared" si="1544"/>
        <v>729</v>
      </c>
      <c r="BZ738" s="1"/>
      <c r="CA738" s="61"/>
    </row>
    <row r="739" spans="2:93" x14ac:dyDescent="0.3">
      <c r="B739" s="158">
        <f t="shared" si="1063"/>
        <v>44639</v>
      </c>
      <c r="C739" s="61"/>
      <c r="D739" s="17">
        <v>12362</v>
      </c>
      <c r="E739" s="16"/>
      <c r="F739" s="16"/>
      <c r="G739" s="16"/>
      <c r="H739" s="16">
        <f t="shared" ref="H739" si="1785">+H738+D739</f>
        <v>71502340</v>
      </c>
      <c r="I739" s="16"/>
      <c r="J739" s="436">
        <f t="shared" ref="J739" si="1786">+D739/H738</f>
        <v>1.7291934262450047E-4</v>
      </c>
      <c r="K739" s="16"/>
      <c r="L739" s="16"/>
      <c r="M739" s="16"/>
      <c r="N739" s="16">
        <f t="shared" ref="N739" si="1787">SUM(D733:D739)</f>
        <v>160556</v>
      </c>
      <c r="O739" s="16">
        <f t="shared" ref="O739" si="1788">+H739/BW739</f>
        <v>97948.410958904104</v>
      </c>
      <c r="P739" s="41"/>
      <c r="Q739" s="17">
        <f t="shared" ref="Q739" si="1789">SUM(D733:D739)</f>
        <v>160556</v>
      </c>
      <c r="R739" s="16"/>
      <c r="S739" s="60">
        <f t="shared" ref="S739" si="1790">+(Q739-Q732)/Q732</f>
        <v>-0.15067261252968964</v>
      </c>
      <c r="T739" s="16"/>
      <c r="U739" s="41"/>
      <c r="V739" s="10">
        <f t="shared" si="558"/>
        <v>631</v>
      </c>
      <c r="W739" s="34">
        <v>327</v>
      </c>
      <c r="X739" s="33">
        <v>4256</v>
      </c>
      <c r="Y739" s="33"/>
      <c r="Z739" s="33">
        <f t="shared" ref="Z739" si="1791">SUM(W734:W739)</f>
        <v>4270</v>
      </c>
      <c r="AA739" s="33">
        <f t="shared" ref="AA739" si="1792">+AA738+W739</f>
        <v>878578</v>
      </c>
      <c r="AB739" s="33"/>
      <c r="AC739" s="46">
        <f t="shared" ref="AC739" si="1793">+AA739/H739</f>
        <v>1.2287402062645782E-2</v>
      </c>
      <c r="AD739" s="33"/>
      <c r="AE739" s="33">
        <f t="shared" ref="AE739" si="1794">+AA739/BW739</f>
        <v>1203.5315068493151</v>
      </c>
      <c r="AF739" s="50"/>
      <c r="AG739" s="33"/>
      <c r="AH739" s="33"/>
      <c r="AI739" s="213"/>
      <c r="AJ739" s="50"/>
      <c r="AL739" s="23">
        <f t="shared" ref="AL739" si="1795">+AP739-AP738</f>
        <v>147586</v>
      </c>
      <c r="AM739" s="24"/>
      <c r="AN739" s="24"/>
      <c r="AO739" s="24">
        <v>178263</v>
      </c>
      <c r="AP739" s="24">
        <v>57123063</v>
      </c>
      <c r="AQ739" s="24">
        <v>20336656</v>
      </c>
      <c r="AR739" s="461">
        <f t="shared" ref="AR739" si="1796">+AL739/AP738</f>
        <v>2.5903425082338494E-3</v>
      </c>
      <c r="AS739" s="25"/>
      <c r="AT739" s="25"/>
      <c r="AU739" s="24"/>
      <c r="AV739" s="298">
        <f t="shared" ref="AV739" si="1797">+AP739/H739</f>
        <v>0.79889781229537382</v>
      </c>
      <c r="AW739" s="298"/>
      <c r="AX739" s="24">
        <f t="shared" ref="AX739" si="1798">+AP739/BW739</f>
        <v>78250.771232876708</v>
      </c>
      <c r="AY739" s="308"/>
      <c r="BA739" s="65">
        <f t="shared" ref="BA739" si="1799">+BC739-BC738</f>
        <v>274904</v>
      </c>
      <c r="BB739" s="66"/>
      <c r="BC739" s="66">
        <v>971193511</v>
      </c>
      <c r="BD739" s="66"/>
      <c r="BE739" s="66">
        <f t="shared" ref="BE739" si="1800">+D739</f>
        <v>12362</v>
      </c>
      <c r="BF739" s="66"/>
      <c r="BG739" s="144">
        <f t="shared" ref="BG739" si="1801">+BE739/BA739</f>
        <v>4.4968425341210025E-2</v>
      </c>
      <c r="BH739" s="66"/>
      <c r="BI739" s="170"/>
      <c r="BJ739" s="66"/>
      <c r="BK739" s="66"/>
      <c r="BL739" s="66"/>
      <c r="BM739" s="144"/>
      <c r="BN739" s="65">
        <f t="shared" ref="BN739" si="1802">+BC739/BW739</f>
        <v>1330402.0698630137</v>
      </c>
      <c r="BO739" s="66"/>
      <c r="BP739" s="66">
        <f t="shared" ref="BP739" si="1803">+BP738+BE739</f>
        <v>70595362</v>
      </c>
      <c r="BQ739" s="66"/>
      <c r="BR739" s="435">
        <f t="shared" ref="BR739" si="1804">+BP739/BC739</f>
        <v>7.2689285091403377E-2</v>
      </c>
      <c r="BS739" s="66"/>
      <c r="BT739" s="75"/>
      <c r="BU739" s="170"/>
      <c r="BV739" s="1"/>
      <c r="BW739" s="61">
        <f t="shared" si="1544"/>
        <v>730</v>
      </c>
      <c r="BZ739" s="1"/>
      <c r="CA739" s="61"/>
    </row>
    <row r="740" spans="2:93" x14ac:dyDescent="0.3">
      <c r="B740" s="347">
        <f t="shared" si="1063"/>
        <v>44640</v>
      </c>
      <c r="C740" s="61"/>
      <c r="D740" s="17">
        <v>5966</v>
      </c>
      <c r="E740" s="16"/>
      <c r="F740" s="16"/>
      <c r="G740" s="16"/>
      <c r="H740" s="16">
        <f t="shared" ref="H740" si="1805">+H739+D740</f>
        <v>71508306</v>
      </c>
      <c r="I740" s="16"/>
      <c r="J740" s="436">
        <f t="shared" ref="J740" si="1806">+D740/H739</f>
        <v>8.3437828747982235E-5</v>
      </c>
      <c r="K740" s="16"/>
      <c r="L740" s="16"/>
      <c r="M740" s="16"/>
      <c r="N740" s="16">
        <f t="shared" ref="N740" si="1807">SUM(D734:D740)</f>
        <v>161379</v>
      </c>
      <c r="O740" s="16">
        <f t="shared" ref="O740" si="1808">+H740/BW740</f>
        <v>97822.580027359785</v>
      </c>
      <c r="P740" s="41"/>
      <c r="Q740" s="17">
        <f t="shared" ref="Q740" si="1809">SUM(D734:D740)</f>
        <v>161379</v>
      </c>
      <c r="R740" s="16"/>
      <c r="S740" s="60">
        <f t="shared" ref="S740" si="1810">+(Q740-Q733)/Q733</f>
        <v>-0.14740145499500737</v>
      </c>
      <c r="T740" s="16"/>
      <c r="U740" s="41"/>
      <c r="V740" s="10">
        <f t="shared" si="558"/>
        <v>632</v>
      </c>
      <c r="W740" s="34">
        <v>88</v>
      </c>
      <c r="X740" s="33">
        <v>4256</v>
      </c>
      <c r="Y740" s="33"/>
      <c r="Z740" s="33">
        <f t="shared" ref="Z740" si="1811">SUM(W735:W740)</f>
        <v>3950</v>
      </c>
      <c r="AA740" s="33">
        <f t="shared" ref="AA740" si="1812">+AA739+W740</f>
        <v>878666</v>
      </c>
      <c r="AB740" s="33"/>
      <c r="AC740" s="46">
        <f t="shared" ref="AC740" si="1813">+AA740/H740</f>
        <v>1.2287607540304479E-2</v>
      </c>
      <c r="AD740" s="33"/>
      <c r="AE740" s="33">
        <f t="shared" ref="AE740" si="1814">+AA740/BW740</f>
        <v>1202.0054719562243</v>
      </c>
      <c r="AF740" s="50"/>
      <c r="AG740" s="33"/>
      <c r="AH740" s="33"/>
      <c r="AI740" s="213"/>
      <c r="AJ740" s="50"/>
      <c r="AL740" s="23">
        <f t="shared" ref="AL740" si="1815">+AP740-AP739</f>
        <v>5883699</v>
      </c>
      <c r="AM740" s="24"/>
      <c r="AN740" s="24"/>
      <c r="AO740" s="24">
        <v>178263</v>
      </c>
      <c r="AP740" s="24">
        <v>63006762</v>
      </c>
      <c r="AQ740" s="24">
        <v>20336656</v>
      </c>
      <c r="AR740" s="461">
        <f t="shared" ref="AR740" si="1816">+AL740/AP739</f>
        <v>0.10300041158507205</v>
      </c>
      <c r="AS740" s="25"/>
      <c r="AT740" s="25"/>
      <c r="AU740" s="24"/>
      <c r="AV740" s="298">
        <f t="shared" ref="AV740" si="1817">+AP740/H740</f>
        <v>0.8811110977793265</v>
      </c>
      <c r="AW740" s="298"/>
      <c r="AX740" s="24">
        <f t="shared" ref="AX740" si="1818">+AP740/BW740</f>
        <v>86192.560875512994</v>
      </c>
      <c r="AY740" s="308"/>
      <c r="BA740" s="65">
        <f t="shared" ref="BA740" si="1819">+BC740-BC739</f>
        <v>412853</v>
      </c>
      <c r="BB740" s="66"/>
      <c r="BC740" s="66">
        <v>971606364</v>
      </c>
      <c r="BD740" s="66"/>
      <c r="BE740" s="66">
        <f t="shared" ref="BE740" si="1820">+D740</f>
        <v>5966</v>
      </c>
      <c r="BF740" s="66"/>
      <c r="BG740" s="144">
        <f t="shared" ref="BG740" si="1821">+BE740/BA740</f>
        <v>1.4450664037805224E-2</v>
      </c>
      <c r="BH740" s="66"/>
      <c r="BI740" s="170"/>
      <c r="BJ740" s="66"/>
      <c r="BK740" s="66"/>
      <c r="BL740" s="66"/>
      <c r="BM740" s="144"/>
      <c r="BN740" s="65">
        <f t="shared" ref="BN740" si="1822">+BC740/BW740</f>
        <v>1329146.8727770178</v>
      </c>
      <c r="BO740" s="66"/>
      <c r="BP740" s="66">
        <f t="shared" ref="BP740" si="1823">+BP739+BE740</f>
        <v>70601328</v>
      </c>
      <c r="BQ740" s="66"/>
      <c r="BR740" s="435">
        <f t="shared" ref="BR740" si="1824">+BP740/BC740</f>
        <v>7.2664538454999247E-2</v>
      </c>
      <c r="BS740" s="66"/>
      <c r="BT740" s="75"/>
      <c r="BU740" s="170"/>
      <c r="BV740" s="1"/>
      <c r="BW740" s="61">
        <f t="shared" si="1544"/>
        <v>731</v>
      </c>
      <c r="BZ740" s="1"/>
      <c r="CA740" s="61"/>
    </row>
    <row r="741" spans="2:93" x14ac:dyDescent="0.3">
      <c r="B741" s="158">
        <f t="shared" si="1063"/>
        <v>44641</v>
      </c>
      <c r="C741" s="61"/>
      <c r="D741" s="17">
        <v>16435</v>
      </c>
      <c r="E741" s="16"/>
      <c r="F741" s="16"/>
      <c r="G741" s="16"/>
      <c r="H741" s="16">
        <f t="shared" ref="H741" si="1825">+H740+D741</f>
        <v>71524741</v>
      </c>
      <c r="I741" s="16"/>
      <c r="J741" s="436">
        <f t="shared" ref="J741" si="1826">+D741/H740</f>
        <v>2.2983344060758479E-4</v>
      </c>
      <c r="K741" s="16"/>
      <c r="L741" s="16"/>
      <c r="M741" s="16"/>
      <c r="N741" s="16">
        <f t="shared" ref="N741" si="1827">SUM(D735:D741)</f>
        <v>158340</v>
      </c>
      <c r="O741" s="16">
        <f t="shared" ref="O741" si="1828">+H741/BW741</f>
        <v>97711.394808743164</v>
      </c>
      <c r="P741" s="41"/>
      <c r="Q741" s="17">
        <f t="shared" ref="Q741" si="1829">SUM(D735:D741)</f>
        <v>158340</v>
      </c>
      <c r="R741" s="16"/>
      <c r="S741" s="60">
        <f t="shared" ref="S741" si="1830">+(Q741-Q734)/Q734</f>
        <v>-0.13476355449667216</v>
      </c>
      <c r="T741" s="16"/>
      <c r="U741" s="41"/>
      <c r="V741" s="10">
        <f t="shared" si="558"/>
        <v>633</v>
      </c>
      <c r="W741" s="34">
        <v>232</v>
      </c>
      <c r="X741" s="33">
        <v>4256</v>
      </c>
      <c r="Y741" s="33"/>
      <c r="Z741" s="33">
        <f t="shared" ref="Z741" si="1831">SUM(W736:W741)</f>
        <v>3281</v>
      </c>
      <c r="AA741" s="33">
        <f t="shared" ref="AA741" si="1832">+AA740+W741</f>
        <v>878898</v>
      </c>
      <c r="AB741" s="33"/>
      <c r="AC741" s="46">
        <f t="shared" ref="AC741" si="1833">+AA741/H741</f>
        <v>1.2288027718967903E-2</v>
      </c>
      <c r="AD741" s="33"/>
      <c r="AE741" s="33">
        <f t="shared" ref="AE741" si="1834">+AA741/BW741</f>
        <v>1200.6803278688524</v>
      </c>
      <c r="AF741" s="50"/>
      <c r="AG741" s="33"/>
      <c r="AH741" s="33"/>
      <c r="AI741" s="213"/>
      <c r="AJ741" s="50"/>
      <c r="AL741" s="23">
        <f t="shared" ref="AL741" si="1835">+AP741-AP740</f>
        <v>248156</v>
      </c>
      <c r="AM741" s="24"/>
      <c r="AN741" s="24"/>
      <c r="AO741" s="24">
        <v>178263</v>
      </c>
      <c r="AP741" s="24">
        <v>63254918</v>
      </c>
      <c r="AQ741" s="24">
        <v>20336656</v>
      </c>
      <c r="AR741" s="461">
        <f t="shared" ref="AR741" si="1836">+AL741/AP740</f>
        <v>3.9385613880618085E-3</v>
      </c>
      <c r="AS741" s="25"/>
      <c r="AT741" s="25"/>
      <c r="AU741" s="24"/>
      <c r="AV741" s="298">
        <f t="shared" ref="AV741" si="1837">+AP741/H741</f>
        <v>0.88437814825502126</v>
      </c>
      <c r="AW741" s="298"/>
      <c r="AX741" s="24">
        <f t="shared" ref="AX741" si="1838">+AP741/BW741</f>
        <v>86413.822404371589</v>
      </c>
      <c r="AY741" s="308"/>
      <c r="BA741" s="65">
        <f t="shared" ref="BA741" si="1839">+BC741-BC740</f>
        <v>1240438</v>
      </c>
      <c r="BB741" s="66"/>
      <c r="BC741" s="66">
        <v>972846802</v>
      </c>
      <c r="BD741" s="66"/>
      <c r="BE741" s="66">
        <f t="shared" ref="BE741" si="1840">+D741</f>
        <v>16435</v>
      </c>
      <c r="BF741" s="66"/>
      <c r="BG741" s="144">
        <f t="shared" ref="BG741" si="1841">+BE741/BA741</f>
        <v>1.3249352244932839E-2</v>
      </c>
      <c r="BH741" s="66"/>
      <c r="BI741" s="170"/>
      <c r="BJ741" s="66"/>
      <c r="BK741" s="66"/>
      <c r="BL741" s="66"/>
      <c r="BM741" s="144"/>
      <c r="BN741" s="65">
        <f t="shared" ref="BN741" si="1842">+BC741/BW741</f>
        <v>1329025.6857923497</v>
      </c>
      <c r="BO741" s="66"/>
      <c r="BP741" s="66">
        <f t="shared" ref="BP741" si="1843">+BP740+BE741</f>
        <v>70617763</v>
      </c>
      <c r="BQ741" s="66"/>
      <c r="BR741" s="435">
        <f t="shared" ref="BR741" si="1844">+BP741/BC741</f>
        <v>7.2588780530318281E-2</v>
      </c>
      <c r="BS741" s="66"/>
      <c r="BT741" s="75"/>
      <c r="BU741" s="170"/>
      <c r="BV741" s="1"/>
      <c r="BW741" s="61">
        <f t="shared" si="1544"/>
        <v>732</v>
      </c>
      <c r="BZ741" s="1"/>
      <c r="CA741" s="61"/>
      <c r="CO741" s="56"/>
    </row>
    <row r="742" spans="2:93" x14ac:dyDescent="0.3">
      <c r="B742" s="158">
        <f t="shared" si="1063"/>
        <v>44642</v>
      </c>
      <c r="C742" s="61"/>
      <c r="D742" s="17">
        <v>23607</v>
      </c>
      <c r="E742" s="16"/>
      <c r="F742" s="16"/>
      <c r="G742" s="16"/>
      <c r="H742" s="16">
        <f t="shared" ref="H742" si="1845">+H741+D742</f>
        <v>71548348</v>
      </c>
      <c r="I742" s="16"/>
      <c r="J742" s="436">
        <f t="shared" ref="J742" si="1846">+D742/H741</f>
        <v>3.3005362438152697E-4</v>
      </c>
      <c r="K742" s="16"/>
      <c r="L742" s="16"/>
      <c r="M742" s="16"/>
      <c r="N742" s="16">
        <f t="shared" ref="N742" si="1847">SUM(D736:D742)</f>
        <v>156588</v>
      </c>
      <c r="O742" s="16">
        <f t="shared" ref="O742" si="1848">+H742/BW742</f>
        <v>97610.297407912687</v>
      </c>
      <c r="P742" s="41"/>
      <c r="Q742" s="17">
        <f t="shared" ref="Q742" si="1849">SUM(D736:D742)</f>
        <v>156588</v>
      </c>
      <c r="R742" s="16"/>
      <c r="S742" s="60">
        <f t="shared" ref="S742" si="1850">+(Q742-Q735)/Q735</f>
        <v>-0.12388028803383894</v>
      </c>
      <c r="T742" s="16"/>
      <c r="U742" s="41"/>
      <c r="V742" s="10">
        <f t="shared" si="558"/>
        <v>634</v>
      </c>
      <c r="W742" s="34">
        <v>817</v>
      </c>
      <c r="X742" s="33">
        <v>4256</v>
      </c>
      <c r="Y742" s="33"/>
      <c r="Z742" s="33">
        <f t="shared" ref="Z742" si="1851">SUM(W737:W742)</f>
        <v>3116</v>
      </c>
      <c r="AA742" s="33">
        <f t="shared" ref="AA742" si="1852">+AA741+W742</f>
        <v>879715</v>
      </c>
      <c r="AB742" s="33"/>
      <c r="AC742" s="46">
        <f t="shared" ref="AC742" si="1853">+AA742/H742</f>
        <v>1.2295392201088976E-2</v>
      </c>
      <c r="AD742" s="33"/>
      <c r="AE742" s="33">
        <f t="shared" ref="AE742" si="1854">+AA742/BW742</f>
        <v>1200.1568894952252</v>
      </c>
      <c r="AF742" s="50"/>
      <c r="AG742" s="33"/>
      <c r="AH742" s="33"/>
      <c r="AI742" s="213"/>
      <c r="AJ742" s="50"/>
      <c r="AL742" s="23">
        <f t="shared" ref="AL742" si="1855">+AP742-AP741</f>
        <v>195708</v>
      </c>
      <c r="AM742" s="24"/>
      <c r="AN742" s="24"/>
      <c r="AO742" s="24">
        <v>178263</v>
      </c>
      <c r="AP742" s="24">
        <v>63450626</v>
      </c>
      <c r="AQ742" s="24">
        <v>20336656</v>
      </c>
      <c r="AR742" s="461">
        <f t="shared" ref="AR742" si="1856">+AL742/AP741</f>
        <v>3.0939570580108887E-3</v>
      </c>
      <c r="AS742" s="25"/>
      <c r="AT742" s="25"/>
      <c r="AU742" s="24"/>
      <c r="AV742" s="298">
        <f t="shared" ref="AV742" si="1857">+AP742/H742</f>
        <v>0.88682167755990682</v>
      </c>
      <c r="AW742" s="298"/>
      <c r="AX742" s="24">
        <f t="shared" ref="AX742" si="1858">+AP742/BW742</f>
        <v>86562.92769440655</v>
      </c>
      <c r="AY742" s="308"/>
      <c r="BA742" s="65">
        <f t="shared" ref="BA742" si="1859">+BC742-BC741</f>
        <v>1594124</v>
      </c>
      <c r="BB742" s="66"/>
      <c r="BC742" s="66">
        <v>974440926</v>
      </c>
      <c r="BD742" s="66"/>
      <c r="BE742" s="66">
        <f t="shared" ref="BE742" si="1860">+D742</f>
        <v>23607</v>
      </c>
      <c r="BF742" s="66"/>
      <c r="BG742" s="144">
        <f t="shared" ref="BG742" si="1861">+BE742/BA742</f>
        <v>1.4808760171730681E-2</v>
      </c>
      <c r="BH742" s="66"/>
      <c r="BI742" s="170"/>
      <c r="BJ742" s="66"/>
      <c r="BK742" s="66"/>
      <c r="BL742" s="66"/>
      <c r="BM742" s="144"/>
      <c r="BN742" s="65">
        <f t="shared" ref="BN742" si="1862">+BC742/BW742</f>
        <v>1329387.3478854024</v>
      </c>
      <c r="BO742" s="66"/>
      <c r="BP742" s="66">
        <f t="shared" ref="BP742" si="1863">+BP741+BE742</f>
        <v>70641370</v>
      </c>
      <c r="BQ742" s="66"/>
      <c r="BR742" s="435">
        <f t="shared" ref="BR742" si="1864">+BP742/BC742</f>
        <v>7.2494256055086914E-2</v>
      </c>
      <c r="BS742" s="66"/>
      <c r="BT742" s="75"/>
      <c r="BU742" s="170"/>
      <c r="BV742" s="1"/>
      <c r="BW742" s="61">
        <f t="shared" si="1544"/>
        <v>733</v>
      </c>
      <c r="BZ742" s="1"/>
      <c r="CA742" s="61"/>
    </row>
    <row r="743" spans="2:93" x14ac:dyDescent="0.3">
      <c r="B743" s="158">
        <f t="shared" si="1063"/>
        <v>44643</v>
      </c>
      <c r="C743" s="61"/>
      <c r="D743" s="17">
        <v>32023</v>
      </c>
      <c r="E743" s="16"/>
      <c r="F743" s="16"/>
      <c r="G743" s="16"/>
      <c r="H743" s="16">
        <f t="shared" ref="H743" si="1865">+H742+D743</f>
        <v>71580371</v>
      </c>
      <c r="I743" s="16"/>
      <c r="J743" s="436">
        <f t="shared" ref="J743" si="1866">+D743/H742</f>
        <v>4.4757147991732806E-4</v>
      </c>
      <c r="K743" s="16"/>
      <c r="L743" s="16"/>
      <c r="M743" s="16"/>
      <c r="N743" s="16">
        <f t="shared" ref="N743" si="1867">SUM(D737:D743)</f>
        <v>158103</v>
      </c>
      <c r="O743" s="16">
        <f t="shared" ref="O743" si="1868">+H743/BW743</f>
        <v>97520.941416893736</v>
      </c>
      <c r="P743" s="41"/>
      <c r="Q743" s="17">
        <f t="shared" ref="Q743" si="1869">SUM(D737:D743)</f>
        <v>158103</v>
      </c>
      <c r="R743" s="16"/>
      <c r="S743" s="60">
        <f t="shared" ref="S743" si="1870">+(Q743-Q736)/Q736</f>
        <v>-7.0184724501137982E-2</v>
      </c>
      <c r="T743" s="16"/>
      <c r="U743" s="41"/>
      <c r="V743" s="10">
        <f t="shared" si="558"/>
        <v>635</v>
      </c>
      <c r="W743" s="34">
        <v>771</v>
      </c>
      <c r="X743" s="33">
        <v>4256</v>
      </c>
      <c r="Y743" s="33"/>
      <c r="Z743" s="33">
        <f t="shared" ref="Z743" si="1871">SUM(W738:W743)</f>
        <v>2956</v>
      </c>
      <c r="AA743" s="33">
        <f t="shared" ref="AA743" si="1872">+AA742+W743</f>
        <v>880486</v>
      </c>
      <c r="AB743" s="33"/>
      <c r="AC743" s="46">
        <f t="shared" ref="AC743" si="1873">+AA743/H743</f>
        <v>1.2300662705422412E-2</v>
      </c>
      <c r="AD743" s="33"/>
      <c r="AE743" s="33">
        <f t="shared" ref="AE743" si="1874">+AA743/BW743</f>
        <v>1199.5722070844686</v>
      </c>
      <c r="AF743" s="50"/>
      <c r="AG743" s="33"/>
      <c r="AH743" s="33"/>
      <c r="AI743" s="213"/>
      <c r="AJ743" s="50"/>
      <c r="AL743" s="23">
        <f t="shared" ref="AL743" si="1875">+AP743-AP742</f>
        <v>172540</v>
      </c>
      <c r="AM743" s="24"/>
      <c r="AN743" s="24"/>
      <c r="AO743" s="24">
        <v>178263</v>
      </c>
      <c r="AP743" s="24">
        <v>63623166</v>
      </c>
      <c r="AQ743" s="24">
        <v>20336656</v>
      </c>
      <c r="AR743" s="461">
        <f t="shared" ref="AR743" si="1876">+AL743/AP742</f>
        <v>2.7192797120709259E-3</v>
      </c>
      <c r="AS743" s="25"/>
      <c r="AT743" s="25"/>
      <c r="AU743" s="24"/>
      <c r="AV743" s="298">
        <f t="shared" ref="AV743" si="1877">+AP743/H743</f>
        <v>0.88883537639110588</v>
      </c>
      <c r="AW743" s="298"/>
      <c r="AX743" s="24">
        <f t="shared" ref="AX743" si="1878">+AP743/BW743</f>
        <v>86680.062670299725</v>
      </c>
      <c r="AY743" s="308"/>
      <c r="BA743" s="65">
        <f t="shared" ref="BA743" si="1879">+BC743-BC742</f>
        <v>1359862</v>
      </c>
      <c r="BB743" s="66"/>
      <c r="BC743" s="66">
        <v>975800788</v>
      </c>
      <c r="BD743" s="66"/>
      <c r="BE743" s="66">
        <f t="shared" ref="BE743" si="1880">+D743</f>
        <v>32023</v>
      </c>
      <c r="BF743" s="66"/>
      <c r="BG743" s="144">
        <f t="shared" ref="BG743" si="1881">+BE743/BA743</f>
        <v>2.3548713031175221E-2</v>
      </c>
      <c r="BH743" s="66"/>
      <c r="BI743" s="170"/>
      <c r="BJ743" s="66"/>
      <c r="BK743" s="66"/>
      <c r="BL743" s="66"/>
      <c r="BM743" s="144"/>
      <c r="BN743" s="65">
        <f t="shared" ref="BN743" si="1882">+BC743/BW743</f>
        <v>1329428.8664850136</v>
      </c>
      <c r="BO743" s="66"/>
      <c r="BP743" s="66">
        <f t="shared" ref="BP743" si="1883">+BP742+BE743</f>
        <v>70673393</v>
      </c>
      <c r="BQ743" s="66"/>
      <c r="BR743" s="435">
        <f t="shared" ref="BR743" si="1884">+BP743/BC743</f>
        <v>7.2426046247464196E-2</v>
      </c>
      <c r="BS743" s="66"/>
      <c r="BT743" s="75"/>
      <c r="BU743" s="170"/>
      <c r="BV743" s="1"/>
      <c r="BW743" s="61">
        <f t="shared" si="1544"/>
        <v>734</v>
      </c>
      <c r="BZ743" s="1"/>
      <c r="CA743" s="61"/>
    </row>
    <row r="744" spans="2:93" x14ac:dyDescent="0.3">
      <c r="B744" s="158">
        <f t="shared" si="1063"/>
        <v>44644</v>
      </c>
      <c r="C744" s="61"/>
      <c r="D744" s="17">
        <v>31796</v>
      </c>
      <c r="E744" s="16"/>
      <c r="F744" s="16"/>
      <c r="G744" s="16"/>
      <c r="H744" s="16">
        <f t="shared" ref="H744" si="1885">+H743+D744</f>
        <v>71612167</v>
      </c>
      <c r="I744" s="16"/>
      <c r="J744" s="436">
        <f t="shared" ref="J744" si="1886">+D744/H743</f>
        <v>4.4419998884889827E-4</v>
      </c>
      <c r="K744" s="16"/>
      <c r="L744" s="16"/>
      <c r="M744" s="16"/>
      <c r="N744" s="16">
        <f t="shared" ref="N744" si="1887">SUM(D738:D744)</f>
        <v>154425</v>
      </c>
      <c r="O744" s="16">
        <f t="shared" ref="O744" si="1888">+H744/BW744</f>
        <v>97431.519727891151</v>
      </c>
      <c r="P744" s="41"/>
      <c r="Q744" s="17">
        <f t="shared" ref="Q744" si="1889">SUM(D738:D744)</f>
        <v>154425</v>
      </c>
      <c r="R744" s="16"/>
      <c r="S744" s="60">
        <f t="shared" ref="S744" si="1890">+(Q744-Q737)/Q737</f>
        <v>-7.7911066261427214E-2</v>
      </c>
      <c r="T744" s="16"/>
      <c r="U744" s="41"/>
      <c r="V744" s="10">
        <f t="shared" si="558"/>
        <v>636</v>
      </c>
      <c r="W744" s="34">
        <v>649</v>
      </c>
      <c r="X744" s="33">
        <v>4256</v>
      </c>
      <c r="Y744" s="33"/>
      <c r="Z744" s="33">
        <f t="shared" ref="Z744" si="1891">SUM(W739:W744)</f>
        <v>2884</v>
      </c>
      <c r="AA744" s="33">
        <f t="shared" ref="AA744" si="1892">+AA743+W744</f>
        <v>881135</v>
      </c>
      <c r="AB744" s="33"/>
      <c r="AC744" s="46">
        <f t="shared" ref="AC744" si="1893">+AA744/H744</f>
        <v>1.230426388297955E-2</v>
      </c>
      <c r="AD744" s="33"/>
      <c r="AE744" s="33">
        <f t="shared" ref="AE744" si="1894">+AA744/BW744</f>
        <v>1198.8231292517007</v>
      </c>
      <c r="AF744" s="50"/>
      <c r="AG744" s="33"/>
      <c r="AH744" s="33"/>
      <c r="AI744" s="213"/>
      <c r="AJ744" s="50"/>
      <c r="AL744" s="23">
        <f t="shared" ref="AL744" si="1895">+AP744-AP743</f>
        <v>201228</v>
      </c>
      <c r="AM744" s="24"/>
      <c r="AN744" s="24"/>
      <c r="AO744" s="24">
        <v>178263</v>
      </c>
      <c r="AP744" s="24">
        <v>63824394</v>
      </c>
      <c r="AQ744" s="24">
        <v>20336656</v>
      </c>
      <c r="AR744" s="461">
        <f t="shared" ref="AR744" si="1896">+AL744/AP743</f>
        <v>3.1628102254452413E-3</v>
      </c>
      <c r="AS744" s="25"/>
      <c r="AT744" s="25"/>
      <c r="AU744" s="24"/>
      <c r="AV744" s="298">
        <f t="shared" ref="AV744" si="1897">+AP744/H744</f>
        <v>0.89125070045708854</v>
      </c>
      <c r="AW744" s="298"/>
      <c r="AX744" s="24">
        <f t="shared" ref="AX744" si="1898">+AP744/BW744</f>
        <v>86835.910204081636</v>
      </c>
      <c r="AY744" s="308"/>
      <c r="BA744" s="65">
        <f t="shared" ref="BA744" si="1899">+BC744-BC743</f>
        <v>1054255</v>
      </c>
      <c r="BB744" s="66"/>
      <c r="BC744" s="66">
        <v>976855043</v>
      </c>
      <c r="BD744" s="66"/>
      <c r="BE744" s="66">
        <f t="shared" ref="BE744" si="1900">+D744</f>
        <v>31796</v>
      </c>
      <c r="BF744" s="66"/>
      <c r="BG744" s="144">
        <f t="shared" ref="BG744" si="1901">+BE744/BA744</f>
        <v>3.0159686223921157E-2</v>
      </c>
      <c r="BH744" s="66"/>
      <c r="BI744" s="170"/>
      <c r="BJ744" s="66"/>
      <c r="BK744" s="66"/>
      <c r="BL744" s="66"/>
      <c r="BM744" s="144"/>
      <c r="BN744" s="65">
        <f t="shared" ref="BN744" si="1902">+BC744/BW744</f>
        <v>1329054.4802721089</v>
      </c>
      <c r="BO744" s="66"/>
      <c r="BP744" s="66">
        <f t="shared" ref="BP744" si="1903">+BP743+BE744</f>
        <v>70705189</v>
      </c>
      <c r="BQ744" s="66"/>
      <c r="BR744" s="435">
        <f t="shared" ref="BR744" si="1904">+BP744/BC744</f>
        <v>7.2380430962263043E-2</v>
      </c>
      <c r="BS744" s="66"/>
      <c r="BT744" s="75"/>
      <c r="BU744" s="170"/>
      <c r="BV744" s="1"/>
      <c r="BW744" s="61">
        <f t="shared" si="1544"/>
        <v>735</v>
      </c>
      <c r="BZ744" s="1"/>
      <c r="CA744" s="61"/>
    </row>
    <row r="745" spans="2:93" x14ac:dyDescent="0.3">
      <c r="B745" s="158">
        <f t="shared" si="1063"/>
        <v>44645</v>
      </c>
      <c r="C745" s="61"/>
      <c r="D745" s="17">
        <v>31927</v>
      </c>
      <c r="E745" s="16"/>
      <c r="F745" s="16"/>
      <c r="G745" s="16"/>
      <c r="H745" s="16">
        <f t="shared" ref="H745" si="1905">+H744+D745</f>
        <v>71644094</v>
      </c>
      <c r="I745" s="16"/>
      <c r="J745" s="436">
        <f t="shared" ref="J745" si="1906">+D745/H744</f>
        <v>4.4583206091221902E-4</v>
      </c>
      <c r="K745" s="16"/>
      <c r="L745" s="16"/>
      <c r="M745" s="16"/>
      <c r="N745" s="16">
        <f t="shared" ref="N745" si="1907">SUM(D739:D745)</f>
        <v>154116</v>
      </c>
      <c r="O745" s="16">
        <f t="shared" ref="O745" si="1908">+H745/BW745</f>
        <v>97342.519021739135</v>
      </c>
      <c r="P745" s="41"/>
      <c r="Q745" s="17">
        <f t="shared" ref="Q745" si="1909">SUM(D739:D745)</f>
        <v>154116</v>
      </c>
      <c r="R745" s="16"/>
      <c r="S745" s="60">
        <f t="shared" ref="S745" si="1910">+(Q745-Q738)/Q738</f>
        <v>-3.9506403664578853E-2</v>
      </c>
      <c r="T745" s="16"/>
      <c r="U745" s="41"/>
      <c r="V745" s="10">
        <f t="shared" si="558"/>
        <v>637</v>
      </c>
      <c r="W745" s="34">
        <v>692</v>
      </c>
      <c r="X745" s="33">
        <v>4256</v>
      </c>
      <c r="Y745" s="33"/>
      <c r="Z745" s="33">
        <f t="shared" ref="Z745" si="1911">SUM(W740:W745)</f>
        <v>3249</v>
      </c>
      <c r="AA745" s="33">
        <f t="shared" ref="AA745" si="1912">+AA744+W745</f>
        <v>881827</v>
      </c>
      <c r="AB745" s="33"/>
      <c r="AC745" s="46">
        <f t="shared" ref="AC745" si="1913">+AA745/H745</f>
        <v>1.2308439548415533E-2</v>
      </c>
      <c r="AD745" s="33"/>
      <c r="AE745" s="33">
        <f t="shared" ref="AE745" si="1914">+AA745/BW745</f>
        <v>1198.1345108695652</v>
      </c>
      <c r="AF745" s="50"/>
      <c r="AG745" s="33"/>
      <c r="AH745" s="33"/>
      <c r="AI745" s="213"/>
      <c r="AJ745" s="50"/>
      <c r="AL745" s="23">
        <f t="shared" ref="AL745" si="1915">+AP745-AP744</f>
        <v>245769</v>
      </c>
      <c r="AM745" s="24"/>
      <c r="AN745" s="24"/>
      <c r="AO745" s="24">
        <v>178263</v>
      </c>
      <c r="AP745" s="24">
        <v>64070163</v>
      </c>
      <c r="AQ745" s="24">
        <v>20336656</v>
      </c>
      <c r="AR745" s="461">
        <f t="shared" ref="AR745" si="1916">+AL745/AP744</f>
        <v>3.8507063615833156E-3</v>
      </c>
      <c r="AS745" s="25"/>
      <c r="AT745" s="25"/>
      <c r="AU745" s="24"/>
      <c r="AV745" s="298">
        <f t="shared" ref="AV745" si="1917">+AP745/H745</f>
        <v>0.89428394474497785</v>
      </c>
      <c r="AW745" s="298"/>
      <c r="AX745" s="24">
        <f t="shared" ref="AX745" si="1918">+AP745/BW745</f>
        <v>87051.851902173919</v>
      </c>
      <c r="AY745" s="308"/>
      <c r="BA745" s="65">
        <f t="shared" ref="BA745" si="1919">+BC745-BC744</f>
        <v>1092488</v>
      </c>
      <c r="BB745" s="66"/>
      <c r="BC745" s="66">
        <v>977947531</v>
      </c>
      <c r="BD745" s="66"/>
      <c r="BE745" s="66">
        <f t="shared" ref="BE745" si="1920">+D745</f>
        <v>31927</v>
      </c>
      <c r="BF745" s="66"/>
      <c r="BG745" s="144">
        <f t="shared" ref="BG745" si="1921">+BE745/BA745</f>
        <v>2.9224119624197246E-2</v>
      </c>
      <c r="BH745" s="66"/>
      <c r="BI745" s="170"/>
      <c r="BJ745" s="66"/>
      <c r="BK745" s="66"/>
      <c r="BL745" s="66"/>
      <c r="BM745" s="144"/>
      <c r="BN745" s="65">
        <f t="shared" ref="BN745" si="1922">+BC745/BW745</f>
        <v>1328733.0584239131</v>
      </c>
      <c r="BO745" s="66"/>
      <c r="BP745" s="66">
        <f t="shared" ref="BP745" si="1923">+BP744+BE745</f>
        <v>70737116</v>
      </c>
      <c r="BQ745" s="66"/>
      <c r="BR745" s="435">
        <f t="shared" ref="BR745" si="1924">+BP745/BC745</f>
        <v>7.2332220040136286E-2</v>
      </c>
      <c r="BS745" s="66"/>
      <c r="BT745" s="75"/>
      <c r="BU745" s="170"/>
      <c r="BV745" s="1"/>
      <c r="BW745" s="61">
        <f t="shared" si="1544"/>
        <v>736</v>
      </c>
      <c r="BZ745" s="1"/>
      <c r="CA745" s="61"/>
    </row>
    <row r="746" spans="2:93" x14ac:dyDescent="0.3">
      <c r="B746" s="158">
        <f t="shared" si="1063"/>
        <v>44646</v>
      </c>
      <c r="C746" s="61"/>
      <c r="D746" s="17">
        <v>15510</v>
      </c>
      <c r="E746" s="16"/>
      <c r="F746" s="16"/>
      <c r="G746" s="16"/>
      <c r="H746" s="16">
        <f t="shared" ref="H746" si="1925">+H745+D746</f>
        <v>71659604</v>
      </c>
      <c r="I746" s="16"/>
      <c r="J746" s="436">
        <f t="shared" ref="J746" si="1926">+D746/H745</f>
        <v>2.1648679094190233E-4</v>
      </c>
      <c r="K746" s="16"/>
      <c r="L746" s="16"/>
      <c r="M746" s="16"/>
      <c r="N746" s="16">
        <f t="shared" ref="N746" si="1927">SUM(D740:D746)</f>
        <v>157264</v>
      </c>
      <c r="O746" s="16">
        <f t="shared" ref="O746" si="1928">+H746/BW746</f>
        <v>97231.484396200816</v>
      </c>
      <c r="P746" s="41"/>
      <c r="Q746" s="17">
        <f t="shared" ref="Q746" si="1929">SUM(D740:D746)</f>
        <v>157264</v>
      </c>
      <c r="R746" s="16"/>
      <c r="S746" s="60">
        <f t="shared" ref="S746" si="1930">+(Q746-Q739)/Q739</f>
        <v>-2.0503749470589701E-2</v>
      </c>
      <c r="T746" s="16"/>
      <c r="U746" s="41"/>
      <c r="V746" s="10">
        <f t="shared" si="558"/>
        <v>638</v>
      </c>
      <c r="W746" s="34">
        <v>221</v>
      </c>
      <c r="X746" s="33">
        <v>4256</v>
      </c>
      <c r="Y746" s="33"/>
      <c r="Z746" s="33">
        <f t="shared" ref="Z746" si="1931">SUM(W741:W746)</f>
        <v>3382</v>
      </c>
      <c r="AA746" s="33">
        <f t="shared" ref="AA746" si="1932">+AA745+W746</f>
        <v>882048</v>
      </c>
      <c r="AB746" s="33"/>
      <c r="AC746" s="46">
        <f t="shared" ref="AC746" si="1933">+AA746/H746</f>
        <v>1.2308859535422495E-2</v>
      </c>
      <c r="AD746" s="33"/>
      <c r="AE746" s="33">
        <f t="shared" ref="AE746" si="1934">+AA746/BW746</f>
        <v>1196.80868385346</v>
      </c>
      <c r="AF746" s="50"/>
      <c r="AG746" s="33"/>
      <c r="AH746" s="33"/>
      <c r="AI746" s="213"/>
      <c r="AJ746" s="50"/>
      <c r="AL746" s="23">
        <f t="shared" ref="AL746" si="1935">+AP746-AP745</f>
        <v>198813</v>
      </c>
      <c r="AM746" s="24"/>
      <c r="AN746" s="24"/>
      <c r="AO746" s="24">
        <v>178263</v>
      </c>
      <c r="AP746" s="24">
        <v>64268976</v>
      </c>
      <c r="AQ746" s="24">
        <v>20336656</v>
      </c>
      <c r="AR746" s="461">
        <f t="shared" ref="AR746" si="1936">+AL746/AP745</f>
        <v>3.1030512596011343E-3</v>
      </c>
      <c r="AS746" s="25"/>
      <c r="AT746" s="25"/>
      <c r="AU746" s="24"/>
      <c r="AV746" s="298">
        <f t="shared" ref="AV746" si="1937">+AP746/H746</f>
        <v>0.89686479428493637</v>
      </c>
      <c r="AW746" s="298"/>
      <c r="AX746" s="24">
        <f t="shared" ref="AX746" si="1938">+AP746/BW746</f>
        <v>87203.495251017637</v>
      </c>
      <c r="AY746" s="308"/>
      <c r="BA746" s="65">
        <f t="shared" ref="BA746" si="1939">+BC746-BC745</f>
        <v>345814</v>
      </c>
      <c r="BB746" s="66"/>
      <c r="BC746" s="66">
        <v>978293345</v>
      </c>
      <c r="BD746" s="66"/>
      <c r="BE746" s="66">
        <f t="shared" ref="BE746" si="1940">+D746</f>
        <v>15510</v>
      </c>
      <c r="BF746" s="66"/>
      <c r="BG746" s="144">
        <f t="shared" ref="BG746" si="1941">+BE746/BA746</f>
        <v>4.4850700087330185E-2</v>
      </c>
      <c r="BH746" s="66"/>
      <c r="BI746" s="170"/>
      <c r="BJ746" s="66"/>
      <c r="BK746" s="66"/>
      <c r="BL746" s="66"/>
      <c r="BM746" s="144"/>
      <c r="BN746" s="65">
        <f t="shared" ref="BN746" si="1942">+BC746/BW746</f>
        <v>1327399.382632293</v>
      </c>
      <c r="BO746" s="66"/>
      <c r="BP746" s="66">
        <f t="shared" ref="BP746" si="1943">+BP745+BE746</f>
        <v>70752626</v>
      </c>
      <c r="BQ746" s="66"/>
      <c r="BR746" s="435">
        <f t="shared" ref="BR746" si="1944">+BP746/BC746</f>
        <v>7.2322505679520907E-2</v>
      </c>
      <c r="BS746" s="66"/>
      <c r="BT746" s="75"/>
      <c r="BU746" s="170"/>
      <c r="BV746" s="1"/>
      <c r="BW746" s="61">
        <f t="shared" si="1544"/>
        <v>737</v>
      </c>
      <c r="BZ746" s="1"/>
      <c r="CA746" s="61"/>
    </row>
    <row r="747" spans="2:93" x14ac:dyDescent="0.3">
      <c r="B747" s="347">
        <f t="shared" si="1063"/>
        <v>44647</v>
      </c>
      <c r="C747" s="61"/>
      <c r="D747" s="17">
        <v>4952</v>
      </c>
      <c r="E747" s="16"/>
      <c r="F747" s="16"/>
      <c r="G747" s="16"/>
      <c r="H747" s="16">
        <f t="shared" ref="H747" si="1945">+H746+D747</f>
        <v>71664556</v>
      </c>
      <c r="I747" s="16"/>
      <c r="J747" s="436">
        <f t="shared" ref="J747" si="1946">+D747/H746</f>
        <v>6.9104484585206469E-5</v>
      </c>
      <c r="K747" s="16"/>
      <c r="L747" s="16"/>
      <c r="M747" s="16"/>
      <c r="N747" s="16">
        <f t="shared" ref="N747" si="1947">SUM(D741:D747)</f>
        <v>156250</v>
      </c>
      <c r="O747" s="16">
        <f t="shared" ref="O747" si="1948">+H747/BW747</f>
        <v>97106.444444444438</v>
      </c>
      <c r="P747" s="41"/>
      <c r="Q747" s="17">
        <f t="shared" ref="Q747" si="1949">SUM(D741:D747)</f>
        <v>156250</v>
      </c>
      <c r="R747" s="16"/>
      <c r="S747" s="60">
        <f t="shared" ref="S747" si="1950">+(Q747-Q740)/Q740</f>
        <v>-3.1782326077122801E-2</v>
      </c>
      <c r="T747" s="16"/>
      <c r="U747" s="41"/>
      <c r="V747" s="10">
        <f t="shared" si="558"/>
        <v>639</v>
      </c>
      <c r="W747" s="34">
        <v>42</v>
      </c>
      <c r="X747" s="33">
        <v>4256</v>
      </c>
      <c r="Y747" s="33"/>
      <c r="Z747" s="33">
        <f t="shared" ref="Z747" si="1951">SUM(W742:W747)</f>
        <v>3192</v>
      </c>
      <c r="AA747" s="33">
        <f t="shared" ref="AA747" si="1952">+AA746+W747</f>
        <v>882090</v>
      </c>
      <c r="AB747" s="33"/>
      <c r="AC747" s="46">
        <f t="shared" ref="AC747" si="1953">+AA747/H747</f>
        <v>1.2308595060576388E-2</v>
      </c>
      <c r="AD747" s="33"/>
      <c r="AE747" s="33">
        <f t="shared" ref="AE747" si="1954">+AA747/BW747</f>
        <v>1195.2439024390244</v>
      </c>
      <c r="AF747" s="50"/>
      <c r="AG747" s="33"/>
      <c r="AH747" s="33"/>
      <c r="AI747" s="213"/>
      <c r="AJ747" s="50"/>
      <c r="AL747" s="23">
        <f t="shared" ref="AL747" si="1955">+AP747-AP746</f>
        <v>188050</v>
      </c>
      <c r="AM747" s="24"/>
      <c r="AN747" s="24"/>
      <c r="AO747" s="24">
        <v>178263</v>
      </c>
      <c r="AP747" s="24">
        <v>64457026</v>
      </c>
      <c r="AQ747" s="24">
        <v>20336656</v>
      </c>
      <c r="AR747" s="461">
        <f t="shared" ref="AR747" si="1956">+AL747/AP746</f>
        <v>2.9259840704479248E-3</v>
      </c>
      <c r="AS747" s="25"/>
      <c r="AT747" s="25"/>
      <c r="AU747" s="24"/>
      <c r="AV747" s="298">
        <f t="shared" ref="AV747" si="1957">+AP747/H747</f>
        <v>0.89942685195733296</v>
      </c>
      <c r="AW747" s="298"/>
      <c r="AX747" s="24">
        <f t="shared" ref="AX747" si="1958">+AP747/BW747</f>
        <v>87340.143631436309</v>
      </c>
      <c r="AY747" s="308"/>
      <c r="BA747" s="65">
        <f t="shared" ref="BA747" si="1959">+BC747-BC746</f>
        <v>190454</v>
      </c>
      <c r="BB747" s="66"/>
      <c r="BC747" s="66">
        <v>978483799</v>
      </c>
      <c r="BD747" s="66"/>
      <c r="BE747" s="66">
        <f t="shared" ref="BE747" si="1960">+D747</f>
        <v>4952</v>
      </c>
      <c r="BF747" s="66"/>
      <c r="BG747" s="144">
        <f t="shared" ref="BG747" si="1961">+BE747/BA747</f>
        <v>2.6001029119892466E-2</v>
      </c>
      <c r="BH747" s="66"/>
      <c r="BI747" s="170"/>
      <c r="BJ747" s="66"/>
      <c r="BK747" s="66"/>
      <c r="BL747" s="66"/>
      <c r="BM747" s="144"/>
      <c r="BN747" s="65">
        <f t="shared" ref="BN747" si="1962">+BC747/BW747</f>
        <v>1325858.8062330624</v>
      </c>
      <c r="BO747" s="66"/>
      <c r="BP747" s="66">
        <f t="shared" ref="BP747" si="1963">+BP746+BE747</f>
        <v>70757578</v>
      </c>
      <c r="BQ747" s="66"/>
      <c r="BR747" s="435">
        <f t="shared" ref="BR747" si="1964">+BP747/BC747</f>
        <v>7.2313489576744647E-2</v>
      </c>
      <c r="BS747" s="66"/>
      <c r="BT747" s="75"/>
      <c r="BU747" s="170"/>
      <c r="BV747" s="1"/>
      <c r="BW747" s="61">
        <f t="shared" si="1544"/>
        <v>738</v>
      </c>
      <c r="BZ747" s="1"/>
      <c r="CA747" s="61"/>
    </row>
    <row r="748" spans="2:93" x14ac:dyDescent="0.3">
      <c r="B748" s="158">
        <f t="shared" si="1063"/>
        <v>44648</v>
      </c>
      <c r="C748" s="61"/>
      <c r="D748" s="17">
        <v>16886</v>
      </c>
      <c r="E748" s="16"/>
      <c r="F748" s="16"/>
      <c r="G748" s="16"/>
      <c r="H748" s="16">
        <f t="shared" ref="H748" si="1965">+H747+D748</f>
        <v>71681442</v>
      </c>
      <c r="I748" s="16"/>
      <c r="J748" s="436">
        <f t="shared" ref="J748" si="1966">+D748/H747</f>
        <v>2.3562554409741965E-4</v>
      </c>
      <c r="K748" s="16"/>
      <c r="L748" s="16"/>
      <c r="M748" s="16"/>
      <c r="N748" s="16">
        <f t="shared" ref="N748" si="1967">SUM(D742:D748)</f>
        <v>156701</v>
      </c>
      <c r="O748" s="16">
        <f t="shared" ref="O748" si="1968">+H748/BW748</f>
        <v>96997.891745602159</v>
      </c>
      <c r="P748" s="41"/>
      <c r="Q748" s="17">
        <f t="shared" ref="Q748" si="1969">SUM(D742:D748)</f>
        <v>156701</v>
      </c>
      <c r="R748" s="16"/>
      <c r="S748" s="60">
        <f t="shared" ref="S748" si="1970">+(Q748-Q741)/Q741</f>
        <v>-1.0351143109763799E-2</v>
      </c>
      <c r="T748" s="16"/>
      <c r="U748" s="41"/>
      <c r="V748" s="10">
        <f t="shared" si="558"/>
        <v>640</v>
      </c>
      <c r="W748" s="34">
        <v>215</v>
      </c>
      <c r="X748" s="33">
        <v>4256</v>
      </c>
      <c r="Y748" s="33"/>
      <c r="Z748" s="33">
        <f t="shared" ref="Z748" si="1971">SUM(W743:W748)</f>
        <v>2590</v>
      </c>
      <c r="AA748" s="33">
        <f t="shared" ref="AA748" si="1972">+AA747+W748</f>
        <v>882305</v>
      </c>
      <c r="AB748" s="33"/>
      <c r="AC748" s="46">
        <f t="shared" ref="AC748" si="1973">+AA748/H748</f>
        <v>1.2308694905998124E-2</v>
      </c>
      <c r="AD748" s="33"/>
      <c r="AE748" s="33">
        <f t="shared" ref="AE748" si="1974">+AA748/BW748</f>
        <v>1193.9174560216509</v>
      </c>
      <c r="AF748" s="50"/>
      <c r="AG748" s="33"/>
      <c r="AH748" s="33"/>
      <c r="AI748" s="213"/>
      <c r="AJ748" s="50"/>
      <c r="AL748" s="23">
        <f t="shared" ref="AL748" si="1975">+AP748-AP747</f>
        <v>226143</v>
      </c>
      <c r="AM748" s="24"/>
      <c r="AN748" s="24"/>
      <c r="AO748" s="24">
        <v>178263</v>
      </c>
      <c r="AP748" s="24">
        <v>64683169</v>
      </c>
      <c r="AQ748" s="24">
        <v>20336656</v>
      </c>
      <c r="AR748" s="461">
        <f t="shared" ref="AR748" si="1976">+AL748/AP747</f>
        <v>3.5084305627132097E-3</v>
      </c>
      <c r="AS748" s="25"/>
      <c r="AT748" s="25"/>
      <c r="AU748" s="24"/>
      <c r="AV748" s="298">
        <f t="shared" ref="AV748" si="1977">+AP748/H748</f>
        <v>0.90236980723685778</v>
      </c>
      <c r="AW748" s="298"/>
      <c r="AX748" s="24">
        <f t="shared" ref="AX748" si="1978">+AP748/BW748</f>
        <v>87527.968876860628</v>
      </c>
      <c r="AY748" s="308"/>
      <c r="BA748" s="65">
        <f t="shared" ref="BA748" si="1979">+BC748-BC747</f>
        <v>1217028</v>
      </c>
      <c r="BB748" s="66"/>
      <c r="BC748" s="66">
        <v>979700827</v>
      </c>
      <c r="BD748" s="66"/>
      <c r="BE748" s="66">
        <f t="shared" ref="BE748" si="1980">+D748</f>
        <v>16886</v>
      </c>
      <c r="BF748" s="66"/>
      <c r="BG748" s="144">
        <f t="shared" ref="BG748" si="1981">+BE748/BA748</f>
        <v>1.3874783488958348E-2</v>
      </c>
      <c r="BH748" s="66"/>
      <c r="BI748" s="170"/>
      <c r="BJ748" s="66"/>
      <c r="BK748" s="66"/>
      <c r="BL748" s="66"/>
      <c r="BM748" s="144"/>
      <c r="BN748" s="65">
        <f t="shared" ref="BN748" si="1982">+BC748/BW748</f>
        <v>1325711.5385656292</v>
      </c>
      <c r="BO748" s="66"/>
      <c r="BP748" s="66">
        <f t="shared" ref="BP748" si="1983">+BP747+BE748</f>
        <v>70774464</v>
      </c>
      <c r="BQ748" s="66"/>
      <c r="BR748" s="435">
        <f t="shared" ref="BR748" si="1984">+BP748/BC748</f>
        <v>7.2240894413371767E-2</v>
      </c>
      <c r="BS748" s="66"/>
      <c r="BT748" s="75"/>
      <c r="BU748" s="170"/>
      <c r="BV748" s="1"/>
      <c r="BW748" s="61">
        <f t="shared" si="1544"/>
        <v>739</v>
      </c>
      <c r="BZ748" s="1"/>
      <c r="CA748" s="61"/>
    </row>
    <row r="749" spans="2:93" x14ac:dyDescent="0.3">
      <c r="B749" s="158">
        <f t="shared" si="1063"/>
        <v>44649</v>
      </c>
      <c r="C749" s="61"/>
      <c r="D749" s="17">
        <v>23974</v>
      </c>
      <c r="E749" s="16"/>
      <c r="F749" s="16"/>
      <c r="G749" s="16"/>
      <c r="H749" s="16">
        <f t="shared" ref="H749" si="1985">+H748+D749</f>
        <v>71705416</v>
      </c>
      <c r="I749" s="16"/>
      <c r="J749" s="436">
        <f t="shared" ref="J749" si="1986">+D749/H748</f>
        <v>3.344519771240093E-4</v>
      </c>
      <c r="K749" s="16"/>
      <c r="L749" s="16"/>
      <c r="M749" s="16"/>
      <c r="N749" s="16">
        <f t="shared" ref="N749" si="1987">SUM(D743:D749)</f>
        <v>157068</v>
      </c>
      <c r="O749" s="16">
        <f t="shared" ref="O749" si="1988">+H749/BW749</f>
        <v>96899.210810810808</v>
      </c>
      <c r="P749" s="41"/>
      <c r="Q749" s="17">
        <f t="shared" ref="Q749" si="1989">SUM(D743:D749)</f>
        <v>157068</v>
      </c>
      <c r="R749" s="16"/>
      <c r="S749" s="60">
        <f t="shared" ref="S749" si="1990">+(Q749-Q742)/Q742</f>
        <v>3.0653689937926278E-3</v>
      </c>
      <c r="T749" s="16"/>
      <c r="U749" s="41"/>
      <c r="V749" s="10">
        <f t="shared" si="558"/>
        <v>641</v>
      </c>
      <c r="W749" s="34">
        <v>716</v>
      </c>
      <c r="X749" s="33">
        <v>4256</v>
      </c>
      <c r="Y749" s="33"/>
      <c r="Z749" s="33">
        <f t="shared" ref="Z749" si="1991">SUM(W744:W749)</f>
        <v>2535</v>
      </c>
      <c r="AA749" s="33">
        <f t="shared" ref="AA749" si="1992">+AA748+W749</f>
        <v>883021</v>
      </c>
      <c r="AB749" s="33"/>
      <c r="AC749" s="46">
        <f t="shared" ref="AC749" si="1993">+AA749/H749</f>
        <v>1.23145649137577E-2</v>
      </c>
      <c r="AD749" s="33"/>
      <c r="AE749" s="33">
        <f t="shared" ref="AE749" si="1994">+AA749/BW749</f>
        <v>1193.2716216216215</v>
      </c>
      <c r="AF749" s="50"/>
      <c r="AG749" s="33"/>
      <c r="AH749" s="33"/>
      <c r="AI749" s="213"/>
      <c r="AJ749" s="50"/>
      <c r="AL749" s="23">
        <f t="shared" ref="AL749" si="1995">+AP749-AP748</f>
        <v>193805</v>
      </c>
      <c r="AM749" s="24"/>
      <c r="AN749" s="24"/>
      <c r="AO749" s="24">
        <v>178263</v>
      </c>
      <c r="AP749" s="24">
        <v>64876974</v>
      </c>
      <c r="AQ749" s="24">
        <v>20336656</v>
      </c>
      <c r="AR749" s="461">
        <f t="shared" ref="AR749" si="1996">+AL749/AP748</f>
        <v>2.9962199285566852E-3</v>
      </c>
      <c r="AS749" s="25"/>
      <c r="AT749" s="25"/>
      <c r="AU749" s="24"/>
      <c r="AV749" s="298">
        <f t="shared" ref="AV749" si="1997">+AP749/H749</f>
        <v>0.90477090321880294</v>
      </c>
      <c r="AW749" s="298"/>
      <c r="AX749" s="24">
        <f t="shared" ref="AX749" si="1998">+AP749/BW749</f>
        <v>87671.586486486485</v>
      </c>
      <c r="AY749" s="308"/>
      <c r="BA749" s="65">
        <f t="shared" ref="BA749" si="1999">+BC749-BC748</f>
        <v>1565986</v>
      </c>
      <c r="BB749" s="66"/>
      <c r="BC749" s="66">
        <v>981266813</v>
      </c>
      <c r="BD749" s="66"/>
      <c r="BE749" s="66">
        <f t="shared" ref="BE749" si="2000">+D749</f>
        <v>23974</v>
      </c>
      <c r="BF749" s="66"/>
      <c r="BG749" s="144">
        <f t="shared" ref="BG749" si="2001">+BE749/BA749</f>
        <v>1.530920455227569E-2</v>
      </c>
      <c r="BH749" s="66"/>
      <c r="BI749" s="170"/>
      <c r="BJ749" s="66"/>
      <c r="BK749" s="66"/>
      <c r="BL749" s="66"/>
      <c r="BM749" s="144"/>
      <c r="BN749" s="65">
        <f t="shared" ref="BN749" si="2002">+BC749/BW749</f>
        <v>1326036.2337837839</v>
      </c>
      <c r="BO749" s="66"/>
      <c r="BP749" s="66">
        <f t="shared" ref="BP749" si="2003">+BP748+BE749</f>
        <v>70798438</v>
      </c>
      <c r="BQ749" s="66"/>
      <c r="BR749" s="435">
        <f t="shared" ref="BR749" si="2004">+BP749/BC749</f>
        <v>7.2150038156849394E-2</v>
      </c>
      <c r="BS749" s="66"/>
      <c r="BT749" s="75"/>
      <c r="BU749" s="170"/>
      <c r="BV749" s="1"/>
      <c r="BW749" s="61">
        <f t="shared" si="1544"/>
        <v>740</v>
      </c>
      <c r="BZ749" s="1"/>
      <c r="CA749" s="61"/>
    </row>
    <row r="750" spans="2:93" x14ac:dyDescent="0.3">
      <c r="B750" s="158">
        <f t="shared" si="1063"/>
        <v>44650</v>
      </c>
      <c r="C750" s="61"/>
      <c r="D750" s="17">
        <v>32194</v>
      </c>
      <c r="E750" s="16"/>
      <c r="F750" s="16"/>
      <c r="G750" s="16"/>
      <c r="H750" s="16">
        <f t="shared" ref="H750" si="2005">+H749+D750</f>
        <v>71737610</v>
      </c>
      <c r="I750" s="16"/>
      <c r="J750" s="436">
        <f t="shared" ref="J750" si="2006">+D750/H749</f>
        <v>4.4897584863045768E-4</v>
      </c>
      <c r="K750" s="16"/>
      <c r="L750" s="16"/>
      <c r="M750" s="16"/>
      <c r="N750" s="16">
        <f t="shared" ref="N750" si="2007">SUM(D744:D750)</f>
        <v>157239</v>
      </c>
      <c r="O750" s="16">
        <f t="shared" ref="O750" si="2008">+H750/BW750</f>
        <v>96811.889338731446</v>
      </c>
      <c r="P750" s="41"/>
      <c r="Q750" s="17">
        <f t="shared" ref="Q750" si="2009">SUM(D744:D750)</f>
        <v>157239</v>
      </c>
      <c r="R750" s="16"/>
      <c r="S750" s="60">
        <f t="shared" ref="S750" si="2010">+(Q750-Q743)/Q743</f>
        <v>-5.4647919394318891E-3</v>
      </c>
      <c r="T750" s="16"/>
      <c r="U750" s="41"/>
      <c r="V750" s="10">
        <f t="shared" si="558"/>
        <v>642</v>
      </c>
      <c r="W750" s="34">
        <v>741</v>
      </c>
      <c r="X750" s="33">
        <v>4256</v>
      </c>
      <c r="Y750" s="33"/>
      <c r="Z750" s="33">
        <f t="shared" ref="Z750" si="2011">SUM(W745:W750)</f>
        <v>2627</v>
      </c>
      <c r="AA750" s="33">
        <f t="shared" ref="AA750" si="2012">+AA749+W750</f>
        <v>883762</v>
      </c>
      <c r="AB750" s="33"/>
      <c r="AC750" s="46">
        <f t="shared" ref="AC750" si="2013">+AA750/H750</f>
        <v>1.2319367762600399E-2</v>
      </c>
      <c r="AD750" s="33"/>
      <c r="AE750" s="33">
        <f t="shared" ref="AE750" si="2014">+AA750/BW750</f>
        <v>1192.6612685560053</v>
      </c>
      <c r="AF750" s="50"/>
      <c r="AG750" s="33"/>
      <c r="AH750" s="33"/>
      <c r="AI750" s="213"/>
      <c r="AJ750" s="50"/>
      <c r="AL750" s="23">
        <f t="shared" ref="AL750" si="2015">+AP750-AP749</f>
        <v>202000</v>
      </c>
      <c r="AM750" s="24"/>
      <c r="AN750" s="24"/>
      <c r="AO750" s="24">
        <v>178263</v>
      </c>
      <c r="AP750" s="24">
        <v>65078974</v>
      </c>
      <c r="AQ750" s="24">
        <v>20336656</v>
      </c>
      <c r="AR750" s="461">
        <f t="shared" ref="AR750" si="2016">+AL750/AP749</f>
        <v>3.1135854147574761E-3</v>
      </c>
      <c r="AS750" s="25"/>
      <c r="AT750" s="25"/>
      <c r="AU750" s="24"/>
      <c r="AV750" s="298">
        <f t="shared" ref="AV750" si="2017">+AP750/H750</f>
        <v>0.90718068248997985</v>
      </c>
      <c r="AW750" s="298"/>
      <c r="AX750" s="24">
        <f t="shared" ref="AX750" si="2018">+AP750/BW750</f>
        <v>87825.875843454793</v>
      </c>
      <c r="AY750" s="308"/>
      <c r="BA750" s="65">
        <f t="shared" ref="BA750" si="2019">+BC750-BC749</f>
        <v>1279965</v>
      </c>
      <c r="BB750" s="66"/>
      <c r="BC750" s="66">
        <v>982546778</v>
      </c>
      <c r="BD750" s="66"/>
      <c r="BE750" s="66">
        <f t="shared" ref="BE750" si="2020">+D750</f>
        <v>32194</v>
      </c>
      <c r="BF750" s="66"/>
      <c r="BG750" s="144">
        <f t="shared" ref="BG750" si="2021">+BE750/BA750</f>
        <v>2.5152250256842961E-2</v>
      </c>
      <c r="BH750" s="66"/>
      <c r="BI750" s="170"/>
      <c r="BJ750" s="66"/>
      <c r="BK750" s="66"/>
      <c r="BL750" s="66"/>
      <c r="BM750" s="144"/>
      <c r="BN750" s="65">
        <f t="shared" ref="BN750" si="2022">+BC750/BW750</f>
        <v>1325974.0593792172</v>
      </c>
      <c r="BO750" s="66"/>
      <c r="BP750" s="66">
        <f t="shared" ref="BP750" si="2023">+BP749+BE750</f>
        <v>70830632</v>
      </c>
      <c r="BQ750" s="66"/>
      <c r="BR750" s="435">
        <f t="shared" ref="BR750" si="2024">+BP750/BC750</f>
        <v>7.2088814075781341E-2</v>
      </c>
      <c r="BS750" s="66"/>
      <c r="BT750" s="75"/>
      <c r="BU750" s="170"/>
      <c r="BV750" s="1"/>
      <c r="BW750" s="61">
        <f t="shared" si="1544"/>
        <v>741</v>
      </c>
      <c r="BZ750" s="1"/>
      <c r="CA750" s="61"/>
    </row>
    <row r="751" spans="2:93" x14ac:dyDescent="0.3">
      <c r="B751" s="158">
        <f t="shared" si="1063"/>
        <v>44651</v>
      </c>
      <c r="C751" s="61"/>
      <c r="D751" s="17">
        <v>34561</v>
      </c>
      <c r="E751" s="16"/>
      <c r="F751" s="16"/>
      <c r="G751" s="16"/>
      <c r="H751" s="16">
        <f t="shared" ref="H751" si="2025">+H750+D751</f>
        <v>71772171</v>
      </c>
      <c r="I751" s="16"/>
      <c r="J751" s="436">
        <f t="shared" ref="J751" si="2026">+D751/H750</f>
        <v>4.8176960453519431E-4</v>
      </c>
      <c r="K751" s="16"/>
      <c r="L751" s="16"/>
      <c r="M751" s="16"/>
      <c r="N751" s="16">
        <f t="shared" ref="N751" si="2027">SUM(D745:D751)</f>
        <v>160004</v>
      </c>
      <c r="O751" s="16">
        <f t="shared" ref="O751" si="2028">+H751/BW751</f>
        <v>96727.993261455529</v>
      </c>
      <c r="P751" s="41"/>
      <c r="Q751" s="17">
        <f t="shared" ref="Q751" si="2029">SUM(D745:D751)</f>
        <v>160004</v>
      </c>
      <c r="R751" s="16"/>
      <c r="S751" s="60">
        <f t="shared" ref="S751" si="2030">+(Q751-Q744)/Q744</f>
        <v>3.6127570017807996E-2</v>
      </c>
      <c r="T751" s="16"/>
      <c r="U751" s="41"/>
      <c r="V751" s="10">
        <f t="shared" si="558"/>
        <v>643</v>
      </c>
      <c r="W751" s="34">
        <v>439</v>
      </c>
      <c r="X751" s="33">
        <v>4256</v>
      </c>
      <c r="Y751" s="33"/>
      <c r="Z751" s="33">
        <f t="shared" ref="Z751" si="2031">SUM(W746:W751)</f>
        <v>2374</v>
      </c>
      <c r="AA751" s="33">
        <f t="shared" ref="AA751" si="2032">+AA750+W751</f>
        <v>884201</v>
      </c>
      <c r="AB751" s="33"/>
      <c r="AC751" s="46">
        <f t="shared" ref="AC751" si="2033">+AA751/H751</f>
        <v>1.2319552100493101E-2</v>
      </c>
      <c r="AD751" s="33"/>
      <c r="AE751" s="33">
        <f t="shared" ref="AE751" si="2034">+AA751/BW751</f>
        <v>1191.6455525606468</v>
      </c>
      <c r="AF751" s="50"/>
      <c r="AG751" s="33"/>
      <c r="AH751" s="33"/>
      <c r="AI751" s="213"/>
      <c r="AJ751" s="50"/>
      <c r="AL751" s="23">
        <f t="shared" ref="AL751" si="2035">+AP751-AP750</f>
        <v>157866</v>
      </c>
      <c r="AM751" s="24"/>
      <c r="AN751" s="24"/>
      <c r="AO751" s="24">
        <v>178263</v>
      </c>
      <c r="AP751" s="24">
        <v>65236840</v>
      </c>
      <c r="AQ751" s="24">
        <v>20336656</v>
      </c>
      <c r="AR751" s="461">
        <f t="shared" ref="AR751" si="2036">+AL751/AP750</f>
        <v>2.4257604307037785E-3</v>
      </c>
      <c r="AS751" s="25"/>
      <c r="AT751" s="25"/>
      <c r="AU751" s="24"/>
      <c r="AV751" s="298">
        <f t="shared" ref="AV751" si="2037">+AP751/H751</f>
        <v>0.90894338419831278</v>
      </c>
      <c r="AW751" s="298"/>
      <c r="AX751" s="24">
        <f t="shared" ref="AX751" si="2038">+AP751/BW751</f>
        <v>87920.26954177898</v>
      </c>
      <c r="AY751" s="308"/>
      <c r="BA751" s="65">
        <f t="shared" ref="BA751" si="2039">+BC751-BC750</f>
        <v>1151116</v>
      </c>
      <c r="BB751" s="66"/>
      <c r="BC751" s="66">
        <v>983697894</v>
      </c>
      <c r="BD751" s="66"/>
      <c r="BE751" s="66">
        <f t="shared" ref="BE751" si="2040">+D751</f>
        <v>34561</v>
      </c>
      <c r="BF751" s="66"/>
      <c r="BG751" s="144">
        <f t="shared" ref="BG751" si="2041">+BE751/BA751</f>
        <v>3.002390723437082E-2</v>
      </c>
      <c r="BH751" s="66"/>
      <c r="BI751" s="170"/>
      <c r="BJ751" s="66"/>
      <c r="BK751" s="66"/>
      <c r="BL751" s="66"/>
      <c r="BM751" s="144"/>
      <c r="BN751" s="65">
        <f t="shared" ref="BN751" si="2042">+BC751/BW751</f>
        <v>1325738.4016172506</v>
      </c>
      <c r="BO751" s="66"/>
      <c r="BP751" s="66">
        <f t="shared" ref="BP751" si="2043">+BP750+BE751</f>
        <v>70865193</v>
      </c>
      <c r="BQ751" s="66"/>
      <c r="BR751" s="435">
        <f t="shared" ref="BR751" si="2044">+BP751/BC751</f>
        <v>7.2039590032913089E-2</v>
      </c>
      <c r="BS751" s="66"/>
      <c r="BT751" s="75"/>
      <c r="BU751" s="170"/>
      <c r="BV751" s="1"/>
      <c r="BW751" s="61">
        <f t="shared" si="1544"/>
        <v>742</v>
      </c>
      <c r="BZ751" s="1"/>
      <c r="CA751" s="61"/>
    </row>
    <row r="752" spans="2:93" x14ac:dyDescent="0.3">
      <c r="B752" s="158">
        <f t="shared" si="1063"/>
        <v>44652</v>
      </c>
      <c r="C752" s="61"/>
      <c r="D752" s="17">
        <v>30655</v>
      </c>
      <c r="E752" s="16"/>
      <c r="F752" s="16"/>
      <c r="G752" s="16"/>
      <c r="H752" s="16">
        <f t="shared" ref="H752" si="2045">+H751+D752</f>
        <v>71802826</v>
      </c>
      <c r="I752" s="16"/>
      <c r="J752" s="436">
        <f t="shared" ref="J752" si="2046">+D752/H751</f>
        <v>4.2711540661073216E-4</v>
      </c>
      <c r="K752" s="16"/>
      <c r="L752" s="16"/>
      <c r="M752" s="16"/>
      <c r="N752" s="16">
        <f t="shared" ref="N752" si="2047">SUM(D746:D752)</f>
        <v>158732</v>
      </c>
      <c r="O752" s="16">
        <f t="shared" ref="O752" si="2048">+H752/BW752</f>
        <v>96639.06594885599</v>
      </c>
      <c r="P752" s="41"/>
      <c r="Q752" s="17">
        <f t="shared" ref="Q752" si="2049">SUM(D746:D752)</f>
        <v>158732</v>
      </c>
      <c r="R752" s="16"/>
      <c r="S752" s="60">
        <f t="shared" ref="S752" si="2050">+(Q752-Q745)/Q745</f>
        <v>2.9951465130161697E-2</v>
      </c>
      <c r="T752" s="16"/>
      <c r="U752" s="41"/>
      <c r="V752" s="10">
        <f t="shared" si="558"/>
        <v>644</v>
      </c>
      <c r="W752" s="34">
        <v>498</v>
      </c>
      <c r="X752" s="33">
        <v>4256</v>
      </c>
      <c r="Y752" s="33"/>
      <c r="Z752" s="33">
        <f t="shared" ref="Z752" si="2051">SUM(W747:W752)</f>
        <v>2651</v>
      </c>
      <c r="AA752" s="33">
        <f t="shared" ref="AA752" si="2052">+AA751+W752</f>
        <v>884699</v>
      </c>
      <c r="AB752" s="33"/>
      <c r="AC752" s="46">
        <f t="shared" ref="AC752" si="2053">+AA752/H752</f>
        <v>1.232122813661958E-2</v>
      </c>
      <c r="AD752" s="33"/>
      <c r="AE752" s="33">
        <f t="shared" ref="AE752" si="2054">+AA752/BW752</f>
        <v>1190.7119784656797</v>
      </c>
      <c r="AF752" s="50"/>
      <c r="AG752" s="33"/>
      <c r="AH752" s="33"/>
      <c r="AI752" s="213"/>
      <c r="AJ752" s="50"/>
      <c r="AL752" s="23">
        <f t="shared" ref="AL752" si="2055">+AP752-AP751</f>
        <v>146151</v>
      </c>
      <c r="AM752" s="24"/>
      <c r="AN752" s="24"/>
      <c r="AO752" s="24">
        <v>178263</v>
      </c>
      <c r="AP752" s="24">
        <v>65382991</v>
      </c>
      <c r="AQ752" s="24">
        <v>20336656</v>
      </c>
      <c r="AR752" s="461">
        <f t="shared" ref="AR752" si="2056">+AL752/AP751</f>
        <v>2.2403139085216267E-3</v>
      </c>
      <c r="AS752" s="25"/>
      <c r="AT752" s="25"/>
      <c r="AU752" s="24"/>
      <c r="AV752" s="298">
        <f t="shared" ref="AV752" si="2057">+AP752/H752</f>
        <v>0.91059077535471933</v>
      </c>
      <c r="AW752" s="298"/>
      <c r="AX752" s="24">
        <f t="shared" ref="AX752" si="2058">+AP752/BW752</f>
        <v>87998.641991924625</v>
      </c>
      <c r="AY752" s="308"/>
      <c r="BA752" s="65">
        <f t="shared" ref="BA752" si="2059">+BC752-BC751</f>
        <v>938305</v>
      </c>
      <c r="BB752" s="66"/>
      <c r="BC752" s="66">
        <v>984636199</v>
      </c>
      <c r="BD752" s="66"/>
      <c r="BE752" s="66">
        <f t="shared" ref="BE752" si="2060">+D752</f>
        <v>30655</v>
      </c>
      <c r="BF752" s="66"/>
      <c r="BG752" s="144">
        <f t="shared" ref="BG752" si="2061">+BE752/BA752</f>
        <v>3.2670613499874775E-2</v>
      </c>
      <c r="BH752" s="66"/>
      <c r="BI752" s="170"/>
      <c r="BJ752" s="66"/>
      <c r="BK752" s="66"/>
      <c r="BL752" s="66"/>
      <c r="BM752" s="144"/>
      <c r="BN752" s="65">
        <f t="shared" ref="BN752" si="2062">+BC752/BW752</f>
        <v>1325216.9569313594</v>
      </c>
      <c r="BO752" s="66"/>
      <c r="BP752" s="66">
        <f t="shared" ref="BP752" si="2063">+BP751+BE752</f>
        <v>70895848</v>
      </c>
      <c r="BQ752" s="66"/>
      <c r="BR752" s="435">
        <f t="shared" ref="BR752" si="2064">+BP752/BC752</f>
        <v>7.2002073529291402E-2</v>
      </c>
      <c r="BS752" s="66"/>
      <c r="BT752" s="75"/>
      <c r="BU752" s="170"/>
      <c r="BV752" s="1"/>
      <c r="BW752" s="61">
        <f t="shared" si="1544"/>
        <v>743</v>
      </c>
      <c r="BZ752" s="1"/>
      <c r="CA752" s="61"/>
    </row>
    <row r="753" spans="2:79" x14ac:dyDescent="0.3">
      <c r="B753" s="158">
        <f t="shared" si="1063"/>
        <v>44653</v>
      </c>
      <c r="C753" s="61"/>
      <c r="D753" s="17">
        <v>12661</v>
      </c>
      <c r="E753" s="16"/>
      <c r="F753" s="16"/>
      <c r="G753" s="16"/>
      <c r="H753" s="16">
        <f t="shared" ref="H753" si="2065">+H752+D753</f>
        <v>71815487</v>
      </c>
      <c r="I753" s="16"/>
      <c r="J753" s="436">
        <f t="shared" ref="J753" si="2066">+D753/H752</f>
        <v>1.763301071186251E-4</v>
      </c>
      <c r="K753" s="16"/>
      <c r="L753" s="16"/>
      <c r="M753" s="16"/>
      <c r="N753" s="16">
        <f t="shared" ref="N753" si="2067">SUM(D747:D753)</f>
        <v>155883</v>
      </c>
      <c r="O753" s="16">
        <f t="shared" ref="O753" si="2068">+H753/BW753</f>
        <v>96526.192204301071</v>
      </c>
      <c r="P753" s="41"/>
      <c r="Q753" s="17">
        <f t="shared" ref="Q753" si="2069">SUM(D747:D753)</f>
        <v>155883</v>
      </c>
      <c r="R753" s="16"/>
      <c r="S753" s="60">
        <f t="shared" ref="S753" si="2070">+(Q753-Q746)/Q746</f>
        <v>-8.7814121477261167E-3</v>
      </c>
      <c r="T753" s="16"/>
      <c r="U753" s="41"/>
      <c r="V753" s="10">
        <f t="shared" si="558"/>
        <v>645</v>
      </c>
      <c r="W753" s="34">
        <v>150</v>
      </c>
      <c r="X753" s="33">
        <v>4256</v>
      </c>
      <c r="Y753" s="33"/>
      <c r="Z753" s="33">
        <f t="shared" ref="Z753" si="2071">SUM(W748:W753)</f>
        <v>2759</v>
      </c>
      <c r="AA753" s="33">
        <f t="shared" ref="AA753" si="2072">+AA752+W753</f>
        <v>884849</v>
      </c>
      <c r="AB753" s="33"/>
      <c r="AC753" s="46">
        <f t="shared" ref="AC753" si="2073">+AA753/H753</f>
        <v>1.2321144602138533E-2</v>
      </c>
      <c r="AD753" s="33"/>
      <c r="AE753" s="33">
        <f t="shared" ref="AE753" si="2074">+AA753/BW753</f>
        <v>1189.3131720430108</v>
      </c>
      <c r="AF753" s="50"/>
      <c r="AG753" s="33"/>
      <c r="AH753" s="33"/>
      <c r="AI753" s="213"/>
      <c r="AJ753" s="50"/>
      <c r="AL753" s="23">
        <f t="shared" ref="AL753" si="2075">+AP753-AP752</f>
        <v>142983</v>
      </c>
      <c r="AM753" s="24"/>
      <c r="AN753" s="24"/>
      <c r="AO753" s="24">
        <v>178263</v>
      </c>
      <c r="AP753" s="24">
        <v>65525974</v>
      </c>
      <c r="AQ753" s="24">
        <v>20336656</v>
      </c>
      <c r="AR753" s="461">
        <f t="shared" ref="AR753" si="2076">+AL753/AP752</f>
        <v>2.1868531526800295E-3</v>
      </c>
      <c r="AS753" s="25"/>
      <c r="AT753" s="25"/>
      <c r="AU753" s="24"/>
      <c r="AV753" s="298">
        <f t="shared" ref="AV753" si="2077">+AP753/H753</f>
        <v>0.91242121633179207</v>
      </c>
      <c r="AW753" s="298"/>
      <c r="AX753" s="24">
        <f t="shared" ref="AX753" si="2078">+AP753/BW753</f>
        <v>88072.545698924732</v>
      </c>
      <c r="AY753" s="308"/>
      <c r="BA753" s="65">
        <f t="shared" ref="BA753" si="2079">+BC753-BC752</f>
        <v>273166</v>
      </c>
      <c r="BB753" s="66"/>
      <c r="BC753" s="66">
        <v>984909365</v>
      </c>
      <c r="BD753" s="66"/>
      <c r="BE753" s="66">
        <f t="shared" ref="BE753" si="2080">+D753</f>
        <v>12661</v>
      </c>
      <c r="BF753" s="66"/>
      <c r="BG753" s="144">
        <f t="shared" ref="BG753" si="2081">+BE753/BA753</f>
        <v>4.6349106404164502E-2</v>
      </c>
      <c r="BH753" s="66"/>
      <c r="BI753" s="170"/>
      <c r="BJ753" s="66"/>
      <c r="BK753" s="66"/>
      <c r="BL753" s="66"/>
      <c r="BM753" s="144"/>
      <c r="BN753" s="65">
        <f t="shared" ref="BN753" si="2082">+BC753/BW753</f>
        <v>1323802.9099462365</v>
      </c>
      <c r="BO753" s="66"/>
      <c r="BP753" s="66">
        <f t="shared" ref="BP753" si="2083">+BP752+BE753</f>
        <v>70908509</v>
      </c>
      <c r="BQ753" s="66"/>
      <c r="BR753" s="435">
        <f t="shared" ref="BR753" si="2084">+BP753/BC753</f>
        <v>7.1994958642717349E-2</v>
      </c>
      <c r="BS753" s="66"/>
      <c r="BT753" s="75"/>
      <c r="BU753" s="170"/>
      <c r="BV753" s="1"/>
      <c r="BW753" s="61">
        <f t="shared" si="1544"/>
        <v>744</v>
      </c>
      <c r="BZ753" s="1"/>
      <c r="CA753" s="61"/>
    </row>
    <row r="754" spans="2:79" x14ac:dyDescent="0.3">
      <c r="B754" s="347">
        <f t="shared" si="1063"/>
        <v>44654</v>
      </c>
      <c r="C754" s="61"/>
      <c r="D754" s="17">
        <v>6241</v>
      </c>
      <c r="E754" s="16"/>
      <c r="F754" s="16"/>
      <c r="G754" s="16"/>
      <c r="H754" s="16">
        <f t="shared" ref="H754" si="2085">+H753+D754</f>
        <v>71821728</v>
      </c>
      <c r="I754" s="16"/>
      <c r="J754" s="436">
        <f t="shared" ref="J754" si="2086">+D754/H753</f>
        <v>8.6903260852356267E-5</v>
      </c>
      <c r="K754" s="16"/>
      <c r="L754" s="16"/>
      <c r="M754" s="16"/>
      <c r="N754" s="16">
        <f t="shared" ref="N754" si="2087">SUM(D748:D754)</f>
        <v>157172</v>
      </c>
      <c r="O754" s="16">
        <f t="shared" ref="O754" si="2088">+H754/BW754</f>
        <v>96405.004026845636</v>
      </c>
      <c r="P754" s="41"/>
      <c r="Q754" s="17">
        <f t="shared" ref="Q754" si="2089">SUM(D748:D754)</f>
        <v>157172</v>
      </c>
      <c r="R754" s="16"/>
      <c r="S754" s="60">
        <f t="shared" ref="S754" si="2090">+(Q754-Q747)/Q747</f>
        <v>5.9008000000000003E-3</v>
      </c>
      <c r="T754" s="16"/>
      <c r="U754" s="41"/>
      <c r="V754" s="10">
        <f t="shared" si="558"/>
        <v>646</v>
      </c>
      <c r="W754" s="34">
        <v>39</v>
      </c>
      <c r="X754" s="33">
        <v>4256</v>
      </c>
      <c r="Y754" s="33"/>
      <c r="Z754" s="33">
        <f t="shared" ref="Z754" si="2091">SUM(W749:W754)</f>
        <v>2583</v>
      </c>
      <c r="AA754" s="33">
        <f t="shared" ref="AA754" si="2092">+AA753+W754</f>
        <v>884888</v>
      </c>
      <c r="AB754" s="33"/>
      <c r="AC754" s="46">
        <f t="shared" ref="AC754" si="2093">+AA754/H754</f>
        <v>1.2320616958700854E-2</v>
      </c>
      <c r="AD754" s="33"/>
      <c r="AE754" s="33">
        <f t="shared" ref="AE754" si="2094">+AA754/BW754</f>
        <v>1187.7691275167786</v>
      </c>
      <c r="AF754" s="50"/>
      <c r="AG754" s="33"/>
      <c r="AH754" s="33"/>
      <c r="AI754" s="213"/>
      <c r="AJ754" s="50"/>
      <c r="AL754" s="23">
        <f t="shared" ref="AL754" si="2095">+AP754-AP753</f>
        <v>150540</v>
      </c>
      <c r="AM754" s="24"/>
      <c r="AN754" s="24"/>
      <c r="AO754" s="24">
        <v>178263</v>
      </c>
      <c r="AP754" s="24">
        <v>65676514</v>
      </c>
      <c r="AQ754" s="24">
        <v>20336656</v>
      </c>
      <c r="AR754" s="461">
        <f t="shared" ref="AR754" si="2096">+AL754/AP753</f>
        <v>2.2974095737974074E-3</v>
      </c>
      <c r="AS754" s="25"/>
      <c r="AT754" s="25"/>
      <c r="AU754" s="24"/>
      <c r="AV754" s="298">
        <f t="shared" ref="AV754" si="2097">+AP754/H754</f>
        <v>0.91443795392948501</v>
      </c>
      <c r="AW754" s="298"/>
      <c r="AX754" s="24">
        <f t="shared" ref="AX754" si="2098">+AP754/BW754</f>
        <v>88156.394630872484</v>
      </c>
      <c r="AY754" s="308"/>
      <c r="BA754" s="65">
        <f t="shared" ref="BA754" si="2099">+BC754-BC753</f>
        <v>189874</v>
      </c>
      <c r="BB754" s="66"/>
      <c r="BC754" s="66">
        <v>985099239</v>
      </c>
      <c r="BD754" s="66"/>
      <c r="BE754" s="66">
        <f t="shared" ref="BE754" si="2100">+D754</f>
        <v>6241</v>
      </c>
      <c r="BF754" s="66"/>
      <c r="BG754" s="144">
        <f t="shared" ref="BG754" si="2101">+BE754/BA754</f>
        <v>3.2869165867891341E-2</v>
      </c>
      <c r="BH754" s="66"/>
      <c r="BI754" s="170"/>
      <c r="BJ754" s="66"/>
      <c r="BK754" s="66"/>
      <c r="BL754" s="66"/>
      <c r="BM754" s="144"/>
      <c r="BN754" s="65">
        <f t="shared" ref="BN754" si="2102">+BC754/BW754</f>
        <v>1322280.8577181208</v>
      </c>
      <c r="BO754" s="66"/>
      <c r="BP754" s="66">
        <f t="shared" ref="BP754" si="2103">+BP753+BE754</f>
        <v>70914750</v>
      </c>
      <c r="BQ754" s="66"/>
      <c r="BR754" s="435">
        <f t="shared" ref="BR754" si="2104">+BP754/BC754</f>
        <v>7.1987417300197504E-2</v>
      </c>
      <c r="BS754" s="66"/>
      <c r="BT754" s="75"/>
      <c r="BU754" s="170"/>
      <c r="BV754" s="1"/>
      <c r="BW754" s="61">
        <f t="shared" si="1544"/>
        <v>745</v>
      </c>
      <c r="BZ754" s="1"/>
      <c r="CA754" s="61"/>
    </row>
    <row r="755" spans="2:79" x14ac:dyDescent="0.3">
      <c r="B755" s="158">
        <f t="shared" si="1063"/>
        <v>44655</v>
      </c>
      <c r="C755" s="61"/>
      <c r="D755" s="17">
        <v>19142</v>
      </c>
      <c r="E755" s="16"/>
      <c r="F755" s="16"/>
      <c r="G755" s="16"/>
      <c r="H755" s="16">
        <f t="shared" ref="H755" si="2105">+H754+D755</f>
        <v>71840870</v>
      </c>
      <c r="I755" s="16"/>
      <c r="J755" s="436">
        <f t="shared" ref="J755" si="2106">+D755/H754</f>
        <v>2.6652101714957346E-4</v>
      </c>
      <c r="K755" s="16"/>
      <c r="L755" s="16"/>
      <c r="M755" s="16"/>
      <c r="N755" s="16">
        <f t="shared" ref="N755" si="2107">SUM(D749:D755)</f>
        <v>159428</v>
      </c>
      <c r="O755" s="16">
        <f t="shared" ref="O755" si="2108">+H755/BW755</f>
        <v>96301.434316353887</v>
      </c>
      <c r="P755" s="41"/>
      <c r="Q755" s="17">
        <f t="shared" ref="Q755" si="2109">SUM(D749:D755)</f>
        <v>159428</v>
      </c>
      <c r="R755" s="16"/>
      <c r="S755" s="60">
        <f t="shared" ref="S755" si="2110">+(Q755-Q748)/Q748</f>
        <v>1.7402569224191294E-2</v>
      </c>
      <c r="T755" s="16"/>
      <c r="U755" s="41"/>
      <c r="V755" s="10">
        <f t="shared" si="558"/>
        <v>647</v>
      </c>
      <c r="W755" s="34">
        <v>180</v>
      </c>
      <c r="X755" s="33">
        <v>4256</v>
      </c>
      <c r="Y755" s="33"/>
      <c r="Z755" s="33">
        <f t="shared" ref="Z755" si="2111">SUM(W750:W755)</f>
        <v>2047</v>
      </c>
      <c r="AA755" s="33">
        <f t="shared" ref="AA755" si="2112">+AA754+W755</f>
        <v>885068</v>
      </c>
      <c r="AB755" s="33"/>
      <c r="AC755" s="46">
        <f t="shared" ref="AC755" si="2113">+AA755/H755</f>
        <v>1.2319839667865937E-2</v>
      </c>
      <c r="AD755" s="33"/>
      <c r="AE755" s="33">
        <f t="shared" ref="AE755" si="2114">+AA755/BW755</f>
        <v>1186.4182305630027</v>
      </c>
      <c r="AF755" s="50"/>
      <c r="AG755" s="33"/>
      <c r="AH755" s="33"/>
      <c r="AI755" s="213"/>
      <c r="AJ755" s="50"/>
      <c r="AL755" s="23">
        <f t="shared" ref="AL755" si="2115">+AP755-AP754</f>
        <v>164764</v>
      </c>
      <c r="AM755" s="24"/>
      <c r="AN755" s="24"/>
      <c r="AO755" s="24">
        <v>178263</v>
      </c>
      <c r="AP755" s="24">
        <v>65841278</v>
      </c>
      <c r="AQ755" s="24">
        <v>20336656</v>
      </c>
      <c r="AR755" s="461">
        <f t="shared" ref="AR755" si="2116">+AL755/AP754</f>
        <v>2.5087202405413905E-3</v>
      </c>
      <c r="AS755" s="25"/>
      <c r="AT755" s="25"/>
      <c r="AU755" s="24"/>
      <c r="AV755" s="298">
        <f t="shared" ref="AV755" si="2117">+AP755/H755</f>
        <v>0.9164877596833112</v>
      </c>
      <c r="AW755" s="298"/>
      <c r="AX755" s="24">
        <f t="shared" ref="AX755" si="2118">+AP755/BW755</f>
        <v>88259.085790884725</v>
      </c>
      <c r="AY755" s="308"/>
      <c r="BA755" s="65">
        <f t="shared" ref="BA755" si="2119">+BC755-BC754</f>
        <v>1084973</v>
      </c>
      <c r="BB755" s="66"/>
      <c r="BC755" s="66">
        <v>986184212</v>
      </c>
      <c r="BD755" s="66"/>
      <c r="BE755" s="66">
        <f t="shared" ref="BE755" si="2120">+D755</f>
        <v>19142</v>
      </c>
      <c r="BF755" s="66"/>
      <c r="BG755" s="144">
        <f t="shared" ref="BG755" si="2121">+BE755/BA755</f>
        <v>1.7642835351663128E-2</v>
      </c>
      <c r="BH755" s="66"/>
      <c r="BI755" s="170"/>
      <c r="BJ755" s="66"/>
      <c r="BK755" s="66"/>
      <c r="BL755" s="66"/>
      <c r="BM755" s="144"/>
      <c r="BN755" s="65">
        <f t="shared" ref="BN755" si="2122">+BC755/BW755</f>
        <v>1321962.7506702412</v>
      </c>
      <c r="BO755" s="66"/>
      <c r="BP755" s="66">
        <f t="shared" ref="BP755" si="2123">+BP754+BE755</f>
        <v>70933892</v>
      </c>
      <c r="BQ755" s="66"/>
      <c r="BR755" s="435">
        <f t="shared" ref="BR755" si="2124">+BP755/BC755</f>
        <v>7.1927628871835958E-2</v>
      </c>
      <c r="BS755" s="66"/>
      <c r="BT755" s="75"/>
      <c r="BU755" s="170"/>
      <c r="BV755" s="1"/>
      <c r="BW755" s="61">
        <f t="shared" si="1544"/>
        <v>746</v>
      </c>
      <c r="BZ755" s="1"/>
      <c r="CA755" s="61"/>
    </row>
    <row r="756" spans="2:79" x14ac:dyDescent="0.3">
      <c r="B756" s="158">
        <f t="shared" si="1063"/>
        <v>44656</v>
      </c>
      <c r="C756" s="61"/>
      <c r="D756" s="17">
        <v>25480</v>
      </c>
      <c r="E756" s="16"/>
      <c r="F756" s="16"/>
      <c r="G756" s="16"/>
      <c r="H756" s="16">
        <f t="shared" ref="H756" si="2125">+H755+D756</f>
        <v>71866350</v>
      </c>
      <c r="I756" s="16"/>
      <c r="J756" s="436">
        <f t="shared" ref="J756" si="2126">+D756/H755</f>
        <v>3.5467276495955576E-4</v>
      </c>
      <c r="K756" s="16"/>
      <c r="L756" s="16"/>
      <c r="M756" s="16"/>
      <c r="N756" s="16">
        <f t="shared" ref="N756" si="2127">SUM(D750:D756)</f>
        <v>160934</v>
      </c>
      <c r="O756" s="16">
        <f t="shared" ref="O756" si="2128">+H756/BW756</f>
        <v>96206.626506024098</v>
      </c>
      <c r="P756" s="41"/>
      <c r="Q756" s="17">
        <f t="shared" ref="Q756" si="2129">SUM(D750:D756)</f>
        <v>160934</v>
      </c>
      <c r="R756" s="16"/>
      <c r="S756" s="60">
        <f t="shared" ref="S756" si="2130">+(Q756-Q749)/Q749</f>
        <v>2.4613543178750606E-2</v>
      </c>
      <c r="T756" s="16"/>
      <c r="U756" s="41"/>
      <c r="V756" s="10">
        <f t="shared" si="558"/>
        <v>648</v>
      </c>
      <c r="W756" s="34">
        <v>466</v>
      </c>
      <c r="X756" s="33">
        <v>4256</v>
      </c>
      <c r="Y756" s="33"/>
      <c r="Z756" s="33">
        <f t="shared" ref="Z756" si="2131">SUM(W751:W756)</f>
        <v>1772</v>
      </c>
      <c r="AA756" s="33">
        <f t="shared" ref="AA756" si="2132">+AA755+W756</f>
        <v>885534</v>
      </c>
      <c r="AB756" s="33"/>
      <c r="AC756" s="46">
        <f t="shared" ref="AC756" si="2133">+AA756/H756</f>
        <v>1.2321955964091679E-2</v>
      </c>
      <c r="AD756" s="33"/>
      <c r="AE756" s="33">
        <f t="shared" ref="AE756" si="2134">+AA756/BW756</f>
        <v>1185.4538152610442</v>
      </c>
      <c r="AF756" s="50"/>
      <c r="AG756" s="33"/>
      <c r="AH756" s="33"/>
      <c r="AI756" s="213"/>
      <c r="AJ756" s="50"/>
      <c r="AL756" s="23">
        <f t="shared" ref="AL756" si="2135">+AP756-AP755</f>
        <v>127189</v>
      </c>
      <c r="AM756" s="24"/>
      <c r="AN756" s="24"/>
      <c r="AO756" s="24">
        <v>178263</v>
      </c>
      <c r="AP756" s="24">
        <v>65968467</v>
      </c>
      <c r="AQ756" s="24">
        <v>20336656</v>
      </c>
      <c r="AR756" s="461">
        <f t="shared" ref="AR756" si="2136">+AL756/AP755</f>
        <v>1.931751689267028E-3</v>
      </c>
      <c r="AS756" s="25"/>
      <c r="AT756" s="25"/>
      <c r="AU756" s="24"/>
      <c r="AV756" s="298">
        <f t="shared" ref="AV756" si="2137">+AP756/H756</f>
        <v>0.91793262076062021</v>
      </c>
      <c r="AW756" s="298"/>
      <c r="AX756" s="24">
        <f t="shared" ref="AX756" si="2138">+AP756/BW756</f>
        <v>88311.200803212851</v>
      </c>
      <c r="AY756" s="308"/>
      <c r="BA756" s="65">
        <f t="shared" ref="BA756" si="2139">+BC756-BC755</f>
        <v>1178596</v>
      </c>
      <c r="BB756" s="66"/>
      <c r="BC756" s="66">
        <v>987362808</v>
      </c>
      <c r="BD756" s="66"/>
      <c r="BE756" s="66">
        <f t="shared" ref="BE756" si="2140">+D756</f>
        <v>25480</v>
      </c>
      <c r="BF756" s="66"/>
      <c r="BG756" s="144">
        <f t="shared" ref="BG756" si="2141">+BE756/BA756</f>
        <v>2.1618943217183835E-2</v>
      </c>
      <c r="BH756" s="66"/>
      <c r="BI756" s="170"/>
      <c r="BJ756" s="66"/>
      <c r="BK756" s="66"/>
      <c r="BL756" s="66"/>
      <c r="BM756" s="144"/>
      <c r="BN756" s="65">
        <f t="shared" ref="BN756" si="2142">+BC756/BW756</f>
        <v>1321770.8273092369</v>
      </c>
      <c r="BO756" s="66"/>
      <c r="BP756" s="66">
        <f t="shared" ref="BP756" si="2143">+BP755+BE756</f>
        <v>70959372</v>
      </c>
      <c r="BQ756" s="66"/>
      <c r="BR756" s="435">
        <f t="shared" ref="BR756" si="2144">+BP756/BC756</f>
        <v>7.1867576361049235E-2</v>
      </c>
      <c r="BS756" s="66"/>
      <c r="BT756" s="75"/>
      <c r="BU756" s="170"/>
      <c r="BV756" s="1"/>
      <c r="BW756" s="61">
        <f t="shared" si="1544"/>
        <v>747</v>
      </c>
      <c r="BZ756" s="1"/>
      <c r="CA756" s="61"/>
    </row>
    <row r="757" spans="2:79" x14ac:dyDescent="0.3">
      <c r="B757" s="158">
        <f t="shared" si="1063"/>
        <v>44657</v>
      </c>
      <c r="C757" s="61"/>
      <c r="D757" s="17">
        <v>31118</v>
      </c>
      <c r="E757" s="16"/>
      <c r="F757" s="16"/>
      <c r="G757" s="16"/>
      <c r="H757" s="16">
        <f t="shared" ref="H757" si="2145">+H756+D757</f>
        <v>71897468</v>
      </c>
      <c r="I757" s="16"/>
      <c r="J757" s="436">
        <f t="shared" ref="J757" si="2146">+D757/H756</f>
        <v>4.3299819734827219E-4</v>
      </c>
      <c r="K757" s="16"/>
      <c r="L757" s="16"/>
      <c r="M757" s="16"/>
      <c r="N757" s="16">
        <f t="shared" ref="N757" si="2147">SUM(D751:D757)</f>
        <v>159858</v>
      </c>
      <c r="O757" s="16">
        <f t="shared" ref="O757" si="2148">+H757/BW757</f>
        <v>96119.609625668454</v>
      </c>
      <c r="P757" s="41"/>
      <c r="Q757" s="17">
        <f t="shared" ref="Q757" si="2149">SUM(D751:D757)</f>
        <v>159858</v>
      </c>
      <c r="R757" s="16"/>
      <c r="S757" s="60">
        <f t="shared" ref="S757" si="2150">+(Q757-Q750)/Q750</f>
        <v>1.6656173086829602E-2</v>
      </c>
      <c r="T757" s="16"/>
      <c r="U757" s="41"/>
      <c r="V757" s="10">
        <f t="shared" si="558"/>
        <v>649</v>
      </c>
      <c r="W757" s="34">
        <v>483</v>
      </c>
      <c r="X757" s="33">
        <v>4256</v>
      </c>
      <c r="Y757" s="33"/>
      <c r="Z757" s="33">
        <f t="shared" ref="Z757" si="2151">SUM(W752:W757)</f>
        <v>1816</v>
      </c>
      <c r="AA757" s="33">
        <f t="shared" ref="AA757" si="2152">+AA756+W757</f>
        <v>886017</v>
      </c>
      <c r="AB757" s="33"/>
      <c r="AC757" s="46">
        <f t="shared" ref="AC757" si="2153">+AA757/H757</f>
        <v>1.2323340788579648E-2</v>
      </c>
      <c r="AD757" s="33"/>
      <c r="AE757" s="33">
        <f t="shared" ref="AE757" si="2154">+AA757/BW757</f>
        <v>1184.5147058823529</v>
      </c>
      <c r="AF757" s="50"/>
      <c r="AG757" s="33"/>
      <c r="AH757" s="33"/>
      <c r="AI757" s="213"/>
      <c r="AJ757" s="50"/>
      <c r="AL757" s="23">
        <f t="shared" ref="AL757" si="2155">+AP757-AP756</f>
        <v>119684</v>
      </c>
      <c r="AM757" s="24"/>
      <c r="AN757" s="24"/>
      <c r="AO757" s="24">
        <v>178263</v>
      </c>
      <c r="AP757" s="24">
        <v>66088151</v>
      </c>
      <c r="AQ757" s="24">
        <v>20336656</v>
      </c>
      <c r="AR757" s="461">
        <f t="shared" ref="AR757" si="2156">+AL757/AP756</f>
        <v>1.8142607436974396E-3</v>
      </c>
      <c r="AS757" s="25"/>
      <c r="AT757" s="25"/>
      <c r="AU757" s="24"/>
      <c r="AV757" s="298">
        <f t="shared" ref="AV757" si="2157">+AP757/H757</f>
        <v>0.9191999779463722</v>
      </c>
      <c r="AW757" s="298"/>
      <c r="AX757" s="24">
        <f t="shared" ref="AX757" si="2158">+AP757/BW757</f>
        <v>88353.143048128346</v>
      </c>
      <c r="AY757" s="308"/>
      <c r="BA757" s="65">
        <f t="shared" ref="BA757" si="2159">+BC757-BC756</f>
        <v>929803</v>
      </c>
      <c r="BB757" s="66"/>
      <c r="BC757" s="66">
        <v>988292611</v>
      </c>
      <c r="BD757" s="66"/>
      <c r="BE757" s="66">
        <f t="shared" ref="BE757" si="2160">+D757</f>
        <v>31118</v>
      </c>
      <c r="BF757" s="66"/>
      <c r="BG757" s="144">
        <f t="shared" ref="BG757" si="2161">+BE757/BA757</f>
        <v>3.3467304364472907E-2</v>
      </c>
      <c r="BH757" s="66"/>
      <c r="BI757" s="170"/>
      <c r="BJ757" s="66"/>
      <c r="BK757" s="66"/>
      <c r="BL757" s="66"/>
      <c r="BM757" s="144"/>
      <c r="BN757" s="65">
        <f t="shared" ref="BN757" si="2162">+BC757/BW757</f>
        <v>1321246.8061497326</v>
      </c>
      <c r="BO757" s="66"/>
      <c r="BP757" s="66">
        <f t="shared" ref="BP757" si="2163">+BP756+BE757</f>
        <v>70990490</v>
      </c>
      <c r="BQ757" s="66"/>
      <c r="BR757" s="435">
        <f t="shared" ref="BR757" si="2164">+BP757/BC757</f>
        <v>7.1831448712510917E-2</v>
      </c>
      <c r="BS757" s="66"/>
      <c r="BT757" s="75"/>
      <c r="BU757" s="170"/>
      <c r="BV757" s="1"/>
      <c r="BW757" s="61">
        <f t="shared" si="1544"/>
        <v>748</v>
      </c>
      <c r="BZ757" s="1"/>
      <c r="CA757" s="61"/>
    </row>
    <row r="758" spans="2:79" x14ac:dyDescent="0.3">
      <c r="B758" s="158">
        <f t="shared" si="1063"/>
        <v>44658</v>
      </c>
      <c r="C758" s="61"/>
      <c r="D758" s="17">
        <v>32659</v>
      </c>
      <c r="E758" s="16"/>
      <c r="F758" s="16"/>
      <c r="G758" s="16"/>
      <c r="H758" s="16">
        <f t="shared" ref="H758" si="2165">+H757+D758</f>
        <v>71930127</v>
      </c>
      <c r="I758" s="16"/>
      <c r="J758" s="436">
        <f t="shared" ref="J758" si="2166">+D758/H757</f>
        <v>4.5424409104365121E-4</v>
      </c>
      <c r="K758" s="16"/>
      <c r="L758" s="16"/>
      <c r="M758" s="16"/>
      <c r="N758" s="16">
        <f t="shared" ref="N758" si="2167">SUM(D752:D758)</f>
        <v>157956</v>
      </c>
      <c r="O758" s="16">
        <f t="shared" ref="O758" si="2168">+H758/BW758</f>
        <v>96034.882510013354</v>
      </c>
      <c r="P758" s="41"/>
      <c r="Q758" s="17">
        <f t="shared" ref="Q758" si="2169">SUM(D752:D758)</f>
        <v>157956</v>
      </c>
      <c r="R758" s="16"/>
      <c r="S758" s="60">
        <f t="shared" ref="S758" si="2170">+(Q758-Q751)/Q751</f>
        <v>-1.27996800079998E-2</v>
      </c>
      <c r="T758" s="16"/>
      <c r="U758" s="41"/>
      <c r="V758" s="10">
        <f t="shared" si="558"/>
        <v>650</v>
      </c>
      <c r="W758" s="34">
        <v>409</v>
      </c>
      <c r="X758" s="33">
        <v>4256</v>
      </c>
      <c r="Y758" s="33"/>
      <c r="Z758" s="33">
        <f t="shared" ref="Z758" si="2171">SUM(W753:W758)</f>
        <v>1727</v>
      </c>
      <c r="AA758" s="33">
        <f t="shared" ref="AA758" si="2172">+AA757+W758</f>
        <v>886426</v>
      </c>
      <c r="AB758" s="33"/>
      <c r="AC758" s="46">
        <f t="shared" ref="AC758" si="2173">+AA758/H758</f>
        <v>1.2323431599112845E-2</v>
      </c>
      <c r="AD758" s="33"/>
      <c r="AE758" s="33">
        <f t="shared" ref="AE758" si="2174">+AA758/BW758</f>
        <v>1183.4793057409879</v>
      </c>
      <c r="AF758" s="50"/>
      <c r="AG758" s="33"/>
      <c r="AH758" s="33"/>
      <c r="AI758" s="213"/>
      <c r="AJ758" s="50"/>
      <c r="AL758" s="23">
        <f t="shared" ref="AL758" si="2175">+AP758-AP757</f>
        <v>131345</v>
      </c>
      <c r="AM758" s="24"/>
      <c r="AN758" s="24"/>
      <c r="AO758" s="24">
        <v>178263</v>
      </c>
      <c r="AP758" s="24">
        <v>66219496</v>
      </c>
      <c r="AQ758" s="24">
        <v>20336656</v>
      </c>
      <c r="AR758" s="461">
        <f t="shared" ref="AR758" si="2176">+AL758/AP757</f>
        <v>1.9874213155093414E-3</v>
      </c>
      <c r="AS758" s="25"/>
      <c r="AT758" s="25"/>
      <c r="AU758" s="24"/>
      <c r="AV758" s="298">
        <f t="shared" ref="AV758" si="2177">+AP758/H758</f>
        <v>0.9206086345433534</v>
      </c>
      <c r="AW758" s="298"/>
      <c r="AX758" s="24">
        <f t="shared" ref="AX758" si="2178">+AP758/BW758</f>
        <v>88410.542056074773</v>
      </c>
      <c r="AY758" s="308"/>
      <c r="BA758" s="65">
        <f t="shared" ref="BA758" si="2179">+BC758-BC757</f>
        <v>805767</v>
      </c>
      <c r="BB758" s="66"/>
      <c r="BC758" s="66">
        <v>989098378</v>
      </c>
      <c r="BD758" s="66"/>
      <c r="BE758" s="66">
        <f t="shared" ref="BE758" si="2180">+D758</f>
        <v>32659</v>
      </c>
      <c r="BF758" s="66"/>
      <c r="BG758" s="144">
        <f t="shared" ref="BG758" si="2181">+BE758/BA758</f>
        <v>4.0531568058756441E-2</v>
      </c>
      <c r="BH758" s="66"/>
      <c r="BI758" s="170"/>
      <c r="BJ758" s="66"/>
      <c r="BK758" s="66"/>
      <c r="BL758" s="66"/>
      <c r="BM758" s="144"/>
      <c r="BN758" s="65">
        <f t="shared" ref="BN758" si="2182">+BC758/BW758</f>
        <v>1320558.5821094792</v>
      </c>
      <c r="BO758" s="66"/>
      <c r="BP758" s="66">
        <f t="shared" ref="BP758" si="2183">+BP757+BE758</f>
        <v>71023149</v>
      </c>
      <c r="BQ758" s="66"/>
      <c r="BR758" s="435">
        <f t="shared" ref="BR758" si="2184">+BP758/BC758</f>
        <v>7.1805950327824719E-2</v>
      </c>
      <c r="BS758" s="66"/>
      <c r="BT758" s="75"/>
      <c r="BU758" s="170"/>
      <c r="BV758" s="1"/>
      <c r="BW758" s="61">
        <f t="shared" si="1544"/>
        <v>749</v>
      </c>
      <c r="BZ758" s="1"/>
      <c r="CA758" s="61"/>
    </row>
    <row r="759" spans="2:79" x14ac:dyDescent="0.3">
      <c r="B759" s="158">
        <f t="shared" si="1063"/>
        <v>44659</v>
      </c>
      <c r="C759" s="61"/>
      <c r="D759" s="17">
        <v>35285</v>
      </c>
      <c r="E759" s="16"/>
      <c r="F759" s="16"/>
      <c r="G759" s="16"/>
      <c r="H759" s="16">
        <f t="shared" ref="H759" si="2185">+H758+D759</f>
        <v>71965412</v>
      </c>
      <c r="I759" s="16"/>
      <c r="J759" s="436">
        <f t="shared" ref="J759" si="2186">+D759/H758</f>
        <v>4.9054549841125682E-4</v>
      </c>
      <c r="K759" s="16"/>
      <c r="L759" s="16"/>
      <c r="M759" s="16"/>
      <c r="N759" s="16">
        <f t="shared" ref="N759" si="2187">SUM(D753:D759)</f>
        <v>162586</v>
      </c>
      <c r="O759" s="16">
        <f t="shared" ref="O759" si="2188">+H759/BW759</f>
        <v>95953.882666666672</v>
      </c>
      <c r="P759" s="41"/>
      <c r="Q759" s="17">
        <f t="shared" ref="Q759" si="2189">SUM(D753:D759)</f>
        <v>162586</v>
      </c>
      <c r="R759" s="16"/>
      <c r="S759" s="60">
        <f t="shared" ref="S759" si="2190">+(Q759-Q752)/Q752</f>
        <v>2.4279918352947107E-2</v>
      </c>
      <c r="T759" s="16"/>
      <c r="U759" s="41"/>
      <c r="V759" s="10">
        <f t="shared" si="558"/>
        <v>651</v>
      </c>
      <c r="W759" s="34">
        <v>404</v>
      </c>
      <c r="X759" s="33">
        <v>4256</v>
      </c>
      <c r="Y759" s="33"/>
      <c r="Z759" s="33">
        <f t="shared" ref="Z759" si="2191">SUM(W754:W759)</f>
        <v>1981</v>
      </c>
      <c r="AA759" s="33">
        <f t="shared" ref="AA759" si="2192">+AA758+W759</f>
        <v>886830</v>
      </c>
      <c r="AB759" s="33"/>
      <c r="AC759" s="46">
        <f t="shared" ref="AC759" si="2193">+AA759/H759</f>
        <v>1.2323003167132567E-2</v>
      </c>
      <c r="AD759" s="33"/>
      <c r="AE759" s="33">
        <f t="shared" ref="AE759" si="2194">+AA759/BW759</f>
        <v>1182.44</v>
      </c>
      <c r="AF759" s="50"/>
      <c r="AG759" s="33"/>
      <c r="AH759" s="33"/>
      <c r="AI759" s="213"/>
      <c r="AJ759" s="50"/>
      <c r="AL759" s="23">
        <f t="shared" ref="AL759" si="2195">+AP759-AP758</f>
        <v>92397</v>
      </c>
      <c r="AM759" s="24"/>
      <c r="AN759" s="24"/>
      <c r="AO759" s="24">
        <v>178263</v>
      </c>
      <c r="AP759" s="24">
        <v>66311893</v>
      </c>
      <c r="AQ759" s="24">
        <v>20336656</v>
      </c>
      <c r="AR759" s="461">
        <f t="shared" ref="AR759" si="2196">+AL759/AP758</f>
        <v>1.3953141534027984E-3</v>
      </c>
      <c r="AS759" s="25"/>
      <c r="AT759" s="25"/>
      <c r="AU759" s="24"/>
      <c r="AV759" s="298">
        <f t="shared" ref="AV759" si="2197">+AP759/H759</f>
        <v>0.92144116398583253</v>
      </c>
      <c r="AW759" s="298"/>
      <c r="AX759" s="24">
        <f t="shared" ref="AX759" si="2198">+AP759/BW759</f>
        <v>88415.857333333333</v>
      </c>
      <c r="AY759" s="308"/>
      <c r="BA759" s="65">
        <f t="shared" ref="BA759" si="2199">+BC759-BC758</f>
        <v>1604139</v>
      </c>
      <c r="BB759" s="66"/>
      <c r="BC759" s="66">
        <v>990702517</v>
      </c>
      <c r="BD759" s="66"/>
      <c r="BE759" s="66">
        <f t="shared" ref="BE759" si="2200">+D759</f>
        <v>35285</v>
      </c>
      <c r="BF759" s="66"/>
      <c r="BG759" s="144">
        <f t="shared" ref="BG759" si="2201">+BE759/BA759</f>
        <v>2.1996223519283552E-2</v>
      </c>
      <c r="BH759" s="66"/>
      <c r="BI759" s="170"/>
      <c r="BJ759" s="66"/>
      <c r="BK759" s="66"/>
      <c r="BL759" s="66"/>
      <c r="BM759" s="144"/>
      <c r="BN759" s="65">
        <f t="shared" ref="BN759" si="2202">+BC759/BW759</f>
        <v>1320936.6893333334</v>
      </c>
      <c r="BO759" s="66"/>
      <c r="BP759" s="66">
        <f t="shared" ref="BP759" si="2203">+BP758+BE759</f>
        <v>71058434</v>
      </c>
      <c r="BQ759" s="66"/>
      <c r="BR759" s="435">
        <f t="shared" ref="BR759" si="2204">+BP759/BC759</f>
        <v>7.1725298745758614E-2</v>
      </c>
      <c r="BS759" s="66"/>
      <c r="BT759" s="75"/>
      <c r="BU759" s="170"/>
      <c r="BV759" s="1"/>
      <c r="BW759" s="61">
        <f t="shared" si="1544"/>
        <v>750</v>
      </c>
      <c r="BZ759" s="1"/>
      <c r="CA759" s="61"/>
    </row>
    <row r="760" spans="2:79" x14ac:dyDescent="0.3">
      <c r="B760" s="158">
        <f t="shared" si="1063"/>
        <v>44660</v>
      </c>
      <c r="C760" s="61"/>
      <c r="D760" s="17">
        <v>15572</v>
      </c>
      <c r="E760" s="16"/>
      <c r="F760" s="16"/>
      <c r="G760" s="16"/>
      <c r="H760" s="16">
        <f t="shared" ref="H760" si="2205">+H759+D760</f>
        <v>71980984</v>
      </c>
      <c r="I760" s="16"/>
      <c r="J760" s="436">
        <f t="shared" ref="J760" si="2206">+D760/H759</f>
        <v>2.1638172515430051E-4</v>
      </c>
      <c r="K760" s="16"/>
      <c r="L760" s="16"/>
      <c r="M760" s="16"/>
      <c r="N760" s="16">
        <f t="shared" ref="N760" si="2207">SUM(D754:D760)</f>
        <v>165497</v>
      </c>
      <c r="O760" s="16">
        <f t="shared" ref="O760" si="2208">+H760/BW760</f>
        <v>95846.849533954723</v>
      </c>
      <c r="P760" s="41"/>
      <c r="Q760" s="17">
        <f t="shared" ref="Q760" si="2209">SUM(D754:D760)</f>
        <v>165497</v>
      </c>
      <c r="R760" s="16"/>
      <c r="S760" s="60">
        <f t="shared" ref="S760" si="2210">+(Q760-Q753)/Q753</f>
        <v>6.1674460973935578E-2</v>
      </c>
      <c r="T760" s="16"/>
      <c r="U760" s="41"/>
      <c r="V760" s="10">
        <f t="shared" si="558"/>
        <v>652</v>
      </c>
      <c r="W760" s="34">
        <v>155</v>
      </c>
      <c r="X760" s="33">
        <v>4256</v>
      </c>
      <c r="Y760" s="33"/>
      <c r="Z760" s="33">
        <f t="shared" ref="Z760" si="2211">SUM(W755:W760)</f>
        <v>2097</v>
      </c>
      <c r="AA760" s="33">
        <f t="shared" ref="AA760" si="2212">+AA759+W760</f>
        <v>886985</v>
      </c>
      <c r="AB760" s="33"/>
      <c r="AC760" s="46">
        <f t="shared" ref="AC760" si="2213">+AA760/H760</f>
        <v>1.2322490617799834E-2</v>
      </c>
      <c r="AD760" s="33"/>
      <c r="AE760" s="33">
        <f t="shared" ref="AE760" si="2214">+AA760/BW760</f>
        <v>1181.0719041278296</v>
      </c>
      <c r="AF760" s="50"/>
      <c r="AG760" s="33"/>
      <c r="AH760" s="33"/>
      <c r="AI760" s="213"/>
      <c r="AJ760" s="50"/>
      <c r="AL760" s="23">
        <f t="shared" ref="AL760" si="2215">+AP760-AP759</f>
        <v>9338374</v>
      </c>
      <c r="AM760" s="24"/>
      <c r="AN760" s="24"/>
      <c r="AO760" s="24">
        <v>178263</v>
      </c>
      <c r="AP760" s="24">
        <v>75650267</v>
      </c>
      <c r="AQ760" s="24">
        <v>20336656</v>
      </c>
      <c r="AR760" s="461">
        <f t="shared" ref="AR760" si="2216">+AL760/AP759</f>
        <v>0.14082502515800596</v>
      </c>
      <c r="AS760" s="25"/>
      <c r="AT760" s="25"/>
      <c r="AU760" s="24"/>
      <c r="AV760" s="298">
        <f t="shared" ref="AV760" si="2217">+AP760/H760</f>
        <v>1.0509757271448248</v>
      </c>
      <c r="AW760" s="298"/>
      <c r="AX760" s="24">
        <f t="shared" ref="AX760" si="2218">+AP760/BW760</f>
        <v>100732.71238348869</v>
      </c>
      <c r="AY760" s="308"/>
      <c r="BA760" s="65">
        <f t="shared" ref="BA760" si="2219">+BC760-BC759</f>
        <v>267173</v>
      </c>
      <c r="BB760" s="66"/>
      <c r="BC760" s="66">
        <v>990969690</v>
      </c>
      <c r="BD760" s="66"/>
      <c r="BE760" s="66">
        <f t="shared" ref="BE760" si="2220">+D760</f>
        <v>15572</v>
      </c>
      <c r="BF760" s="66"/>
      <c r="BG760" s="144">
        <f t="shared" ref="BG760" si="2221">+BE760/BA760</f>
        <v>5.8284332623431259E-2</v>
      </c>
      <c r="BH760" s="66"/>
      <c r="BI760" s="170"/>
      <c r="BJ760" s="66"/>
      <c r="BK760" s="66"/>
      <c r="BL760" s="66"/>
      <c r="BM760" s="144"/>
      <c r="BN760" s="65">
        <f t="shared" ref="BN760" si="2222">+BC760/BW760</f>
        <v>1319533.5419440747</v>
      </c>
      <c r="BO760" s="66"/>
      <c r="BP760" s="66">
        <f t="shared" ref="BP760" si="2223">+BP759+BE760</f>
        <v>71074006</v>
      </c>
      <c r="BQ760" s="66"/>
      <c r="BR760" s="435">
        <f t="shared" ref="BR760" si="2224">+BP760/BC760</f>
        <v>7.1721674958595355E-2</v>
      </c>
      <c r="BS760" s="66"/>
      <c r="BT760" s="75"/>
      <c r="BU760" s="170"/>
      <c r="BV760" s="1"/>
      <c r="BW760" s="61">
        <f t="shared" si="1544"/>
        <v>751</v>
      </c>
      <c r="BZ760" s="1"/>
      <c r="CA760" s="61"/>
    </row>
    <row r="761" spans="2:79" x14ac:dyDescent="0.3">
      <c r="B761" s="347">
        <f t="shared" si="1063"/>
        <v>44661</v>
      </c>
      <c r="C761" s="61"/>
      <c r="D761" s="17">
        <v>9747</v>
      </c>
      <c r="E761" s="16"/>
      <c r="F761" s="16"/>
      <c r="G761" s="16"/>
      <c r="H761" s="16">
        <f t="shared" ref="H761" si="2225">+H760+D761</f>
        <v>71990731</v>
      </c>
      <c r="I761" s="16"/>
      <c r="J761" s="436">
        <f t="shared" ref="J761" si="2226">+D761/H760</f>
        <v>1.3541076348720101E-4</v>
      </c>
      <c r="K761" s="16"/>
      <c r="L761" s="16"/>
      <c r="M761" s="16"/>
      <c r="N761" s="16">
        <f t="shared" ref="N761" si="2227">SUM(D755:D761)</f>
        <v>169003</v>
      </c>
      <c r="O761" s="16">
        <f t="shared" ref="O761" si="2228">+H761/BW761</f>
        <v>95732.355053191495</v>
      </c>
      <c r="P761" s="41"/>
      <c r="Q761" s="17">
        <f t="shared" ref="Q761" si="2229">SUM(D755:D761)</f>
        <v>169003</v>
      </c>
      <c r="R761" s="16"/>
      <c r="S761" s="60">
        <f t="shared" ref="S761" si="2230">+(Q761-Q754)/Q754</f>
        <v>7.5274221871580185E-2</v>
      </c>
      <c r="T761" s="16"/>
      <c r="U761" s="41"/>
      <c r="V761" s="10">
        <f t="shared" si="558"/>
        <v>653</v>
      </c>
      <c r="W761" s="34">
        <v>20</v>
      </c>
      <c r="X761" s="33">
        <v>4256</v>
      </c>
      <c r="Y761" s="33"/>
      <c r="Z761" s="33">
        <f t="shared" ref="Z761" si="2231">SUM(W756:W761)</f>
        <v>1937</v>
      </c>
      <c r="AA761" s="33">
        <f t="shared" ref="AA761" si="2232">+AA760+W761</f>
        <v>887005</v>
      </c>
      <c r="AB761" s="33"/>
      <c r="AC761" s="46">
        <f t="shared" ref="AC761" si="2233">+AA761/H761</f>
        <v>1.2321100059395147E-2</v>
      </c>
      <c r="AD761" s="33"/>
      <c r="AE761" s="33">
        <f t="shared" ref="AE761" si="2234">+AA761/BW761</f>
        <v>1179.5279255319149</v>
      </c>
      <c r="AF761" s="50"/>
      <c r="AG761" s="33"/>
      <c r="AH761" s="33"/>
      <c r="AI761" s="213"/>
      <c r="AJ761" s="50"/>
      <c r="AL761" s="23">
        <f t="shared" ref="AL761" si="2235">+AP761-AP760</f>
        <v>4258253</v>
      </c>
      <c r="AM761" s="24"/>
      <c r="AN761" s="24"/>
      <c r="AO761" s="24">
        <v>178263</v>
      </c>
      <c r="AP761" s="24">
        <v>79908520</v>
      </c>
      <c r="AQ761" s="24">
        <v>20336656</v>
      </c>
      <c r="AR761" s="461">
        <f t="shared" ref="AR761" si="2236">+AL761/AP760</f>
        <v>5.6288671129210953E-2</v>
      </c>
      <c r="AS761" s="25"/>
      <c r="AT761" s="25"/>
      <c r="AU761" s="24"/>
      <c r="AV761" s="298">
        <f t="shared" ref="AV761" si="2237">+AP761/H761</f>
        <v>1.1099834505083717</v>
      </c>
      <c r="AW761" s="298"/>
      <c r="AX761" s="24">
        <f t="shared" ref="AX761" si="2238">+AP761/BW761</f>
        <v>106261.32978723405</v>
      </c>
      <c r="AY761" s="308"/>
      <c r="BA761" s="65">
        <f t="shared" ref="BA761" si="2239">+BC761-BC760</f>
        <v>203714</v>
      </c>
      <c r="BB761" s="66"/>
      <c r="BC761" s="66">
        <v>991173404</v>
      </c>
      <c r="BD761" s="66"/>
      <c r="BE761" s="66">
        <f t="shared" ref="BE761" si="2240">+D761</f>
        <v>9747</v>
      </c>
      <c r="BF761" s="66"/>
      <c r="BG761" s="144">
        <f t="shared" ref="BG761" si="2241">+BE761/BA761</f>
        <v>4.7846490668289859E-2</v>
      </c>
      <c r="BH761" s="66"/>
      <c r="BI761" s="170"/>
      <c r="BJ761" s="66"/>
      <c r="BK761" s="66"/>
      <c r="BL761" s="66"/>
      <c r="BM761" s="144"/>
      <c r="BN761" s="65">
        <f t="shared" ref="BN761" si="2242">+BC761/BW761</f>
        <v>1318049.7393617022</v>
      </c>
      <c r="BO761" s="66"/>
      <c r="BP761" s="66">
        <f t="shared" ref="BP761" si="2243">+BP760+BE761</f>
        <v>71083753</v>
      </c>
      <c r="BQ761" s="66"/>
      <c r="BR761" s="435">
        <f t="shared" ref="BR761" si="2244">+BP761/BC761</f>
        <v>7.1716767937005696E-2</v>
      </c>
      <c r="BS761" s="66"/>
      <c r="BT761" s="75"/>
      <c r="BU761" s="170"/>
      <c r="BV761" s="1"/>
      <c r="BW761" s="61">
        <f t="shared" si="1544"/>
        <v>752</v>
      </c>
      <c r="BZ761" s="1"/>
      <c r="CA761" s="61"/>
    </row>
    <row r="762" spans="2:79" x14ac:dyDescent="0.3">
      <c r="B762" s="158">
        <f t="shared" si="1063"/>
        <v>44662</v>
      </c>
      <c r="C762" s="61"/>
      <c r="D762" s="17">
        <v>23129</v>
      </c>
      <c r="E762" s="16"/>
      <c r="F762" s="16"/>
      <c r="G762" s="16"/>
      <c r="H762" s="16">
        <f t="shared" ref="H762" si="2245">+H761+D762</f>
        <v>72013860</v>
      </c>
      <c r="I762" s="16"/>
      <c r="J762" s="436">
        <f t="shared" ref="J762" si="2246">+D762/H761</f>
        <v>3.2127747112333112E-4</v>
      </c>
      <c r="K762" s="16"/>
      <c r="L762" s="16"/>
      <c r="M762" s="16"/>
      <c r="N762" s="16">
        <f t="shared" ref="N762" si="2247">SUM(D756:D762)</f>
        <v>172990</v>
      </c>
      <c r="O762" s="16">
        <f t="shared" ref="O762" si="2248">+H762/BW762</f>
        <v>95635.936254980086</v>
      </c>
      <c r="P762" s="41"/>
      <c r="Q762" s="17">
        <f t="shared" ref="Q762" si="2249">SUM(D756:D762)</f>
        <v>172990</v>
      </c>
      <c r="R762" s="16"/>
      <c r="S762" s="60">
        <f t="shared" ref="S762" si="2250">+(Q762-Q755)/Q755</f>
        <v>8.5066613141982592E-2</v>
      </c>
      <c r="T762" s="16"/>
      <c r="U762" s="41"/>
      <c r="V762" s="10">
        <f t="shared" si="558"/>
        <v>654</v>
      </c>
      <c r="W762" s="34">
        <v>149</v>
      </c>
      <c r="X762" s="33">
        <v>4256</v>
      </c>
      <c r="Y762" s="33"/>
      <c r="Z762" s="33">
        <f t="shared" ref="Z762" si="2251">SUM(W757:W762)</f>
        <v>1620</v>
      </c>
      <c r="AA762" s="33">
        <f t="shared" ref="AA762" si="2252">+AA761+W762</f>
        <v>887154</v>
      </c>
      <c r="AB762" s="33"/>
      <c r="AC762" s="46">
        <f t="shared" ref="AC762" si="2253">+AA762/H762</f>
        <v>1.2319211885045462E-2</v>
      </c>
      <c r="AD762" s="33"/>
      <c r="AE762" s="33">
        <f t="shared" ref="AE762" si="2254">+AA762/BW762</f>
        <v>1178.1593625498008</v>
      </c>
      <c r="AF762" s="50"/>
      <c r="AG762" s="33"/>
      <c r="AH762" s="33"/>
      <c r="AI762" s="213"/>
      <c r="AJ762" s="50"/>
      <c r="AL762" s="23">
        <f t="shared" ref="AL762" si="2255">+AP762-AP761</f>
        <v>50936</v>
      </c>
      <c r="AM762" s="24"/>
      <c r="AN762" s="24"/>
      <c r="AO762" s="24">
        <v>178263</v>
      </c>
      <c r="AP762" s="24">
        <v>79959456</v>
      </c>
      <c r="AQ762" s="24">
        <v>20336656</v>
      </c>
      <c r="AR762" s="461">
        <f t="shared" ref="AR762" si="2256">+AL762/AP761</f>
        <v>6.374288999470895E-4</v>
      </c>
      <c r="AS762" s="25"/>
      <c r="AT762" s="25"/>
      <c r="AU762" s="24"/>
      <c r="AV762" s="298">
        <f t="shared" ref="AV762" si="2257">+AP762/H762</f>
        <v>1.1103342606548239</v>
      </c>
      <c r="AW762" s="298"/>
      <c r="AX762" s="24">
        <f t="shared" ref="AX762" si="2258">+AP762/BW762</f>
        <v>106187.85657370518</v>
      </c>
      <c r="AY762" s="308"/>
      <c r="BA762" s="65">
        <f t="shared" ref="BA762" si="2259">+BC762-BC761</f>
        <v>860652</v>
      </c>
      <c r="BB762" s="66"/>
      <c r="BC762" s="66">
        <v>992034056</v>
      </c>
      <c r="BD762" s="66"/>
      <c r="BE762" s="66">
        <f t="shared" ref="BE762" si="2260">+D762</f>
        <v>23129</v>
      </c>
      <c r="BF762" s="66"/>
      <c r="BG762" s="144">
        <f t="shared" ref="BG762" si="2261">+BE762/BA762</f>
        <v>2.687381194722141E-2</v>
      </c>
      <c r="BH762" s="66"/>
      <c r="BI762" s="170"/>
      <c r="BJ762" s="66"/>
      <c r="BK762" s="66"/>
      <c r="BL762" s="66"/>
      <c r="BM762" s="144"/>
      <c r="BN762" s="65">
        <f t="shared" ref="BN762" si="2262">+BC762/BW762</f>
        <v>1317442.3054448871</v>
      </c>
      <c r="BO762" s="66"/>
      <c r="BP762" s="66">
        <f t="shared" ref="BP762" si="2263">+BP761+BE762</f>
        <v>71106882</v>
      </c>
      <c r="BQ762" s="66"/>
      <c r="BR762" s="435">
        <f t="shared" ref="BR762" si="2264">+BP762/BC762</f>
        <v>7.1677863849464452E-2</v>
      </c>
      <c r="BS762" s="66"/>
      <c r="BT762" s="75"/>
      <c r="BU762" s="170"/>
      <c r="BV762" s="1"/>
      <c r="BW762" s="61">
        <f t="shared" si="1544"/>
        <v>753</v>
      </c>
      <c r="BZ762" s="1"/>
      <c r="CA762" s="61"/>
    </row>
    <row r="763" spans="2:79" x14ac:dyDescent="0.3">
      <c r="B763" s="158">
        <f t="shared" si="1063"/>
        <v>44663</v>
      </c>
      <c r="C763" s="61"/>
      <c r="D763" s="17">
        <v>28944</v>
      </c>
      <c r="E763" s="16"/>
      <c r="F763" s="16"/>
      <c r="G763" s="16"/>
      <c r="H763" s="16">
        <f t="shared" ref="H763" si="2265">+H762+D763</f>
        <v>72042804</v>
      </c>
      <c r="I763" s="16"/>
      <c r="J763" s="436">
        <f t="shared" ref="J763" si="2266">+D763/H762</f>
        <v>4.0192262989374543E-4</v>
      </c>
      <c r="K763" s="16"/>
      <c r="L763" s="16"/>
      <c r="M763" s="16"/>
      <c r="N763" s="16">
        <f t="shared" ref="N763" si="2267">SUM(D757:D763)</f>
        <v>176454</v>
      </c>
      <c r="O763" s="16">
        <f t="shared" ref="O763" si="2268">+H763/BW763</f>
        <v>95547.485411140588</v>
      </c>
      <c r="P763" s="41"/>
      <c r="Q763" s="17">
        <f t="shared" ref="Q763" si="2269">SUM(D757:D763)</f>
        <v>176454</v>
      </c>
      <c r="R763" s="16"/>
      <c r="S763" s="60">
        <f t="shared" ref="S763" si="2270">+(Q763-Q756)/Q756</f>
        <v>9.6437048728050007E-2</v>
      </c>
      <c r="T763" s="16"/>
      <c r="U763" s="41"/>
      <c r="V763" s="10">
        <f t="shared" si="558"/>
        <v>655</v>
      </c>
      <c r="W763" s="34">
        <v>505</v>
      </c>
      <c r="X763" s="33">
        <v>4256</v>
      </c>
      <c r="Y763" s="33"/>
      <c r="Z763" s="33">
        <f t="shared" ref="Z763" si="2271">SUM(W758:W763)</f>
        <v>1642</v>
      </c>
      <c r="AA763" s="33">
        <f t="shared" ref="AA763" si="2272">+AA762+W763</f>
        <v>887659</v>
      </c>
      <c r="AB763" s="33"/>
      <c r="AC763" s="46">
        <f t="shared" ref="AC763" si="2273">+AA763/H763</f>
        <v>1.2321272225883934E-2</v>
      </c>
      <c r="AD763" s="33"/>
      <c r="AE763" s="33">
        <f t="shared" ref="AE763" si="2274">+AA763/BW763</f>
        <v>1177.2665782493368</v>
      </c>
      <c r="AF763" s="50"/>
      <c r="AG763" s="33"/>
      <c r="AH763" s="33"/>
      <c r="AI763" s="213"/>
      <c r="AJ763" s="50"/>
      <c r="AL763" s="23">
        <f t="shared" ref="AL763" si="2275">+AP763-AP762</f>
        <v>55625</v>
      </c>
      <c r="AM763" s="24"/>
      <c r="AN763" s="24"/>
      <c r="AO763" s="24">
        <v>178263</v>
      </c>
      <c r="AP763" s="24">
        <v>80015081</v>
      </c>
      <c r="AQ763" s="24">
        <v>20336656</v>
      </c>
      <c r="AR763" s="461">
        <f t="shared" ref="AR763" si="2276">+AL763/AP762</f>
        <v>6.9566506305395576E-4</v>
      </c>
      <c r="AS763" s="25"/>
      <c r="AT763" s="25"/>
      <c r="AU763" s="24"/>
      <c r="AV763" s="298">
        <f t="shared" ref="AV763" si="2277">+AP763/H763</f>
        <v>1.1106602819068507</v>
      </c>
      <c r="AW763" s="298"/>
      <c r="AX763" s="24">
        <f t="shared" ref="AX763" si="2278">+AP763/BW763</f>
        <v>106120.79708222812</v>
      </c>
      <c r="AY763" s="308"/>
      <c r="BA763" s="65">
        <f t="shared" ref="BA763" si="2279">+BC763-BC762</f>
        <v>411635</v>
      </c>
      <c r="BB763" s="66"/>
      <c r="BC763" s="66">
        <v>992445691</v>
      </c>
      <c r="BD763" s="66"/>
      <c r="BE763" s="66">
        <f t="shared" ref="BE763" si="2280">+D763</f>
        <v>28944</v>
      </c>
      <c r="BF763" s="66"/>
      <c r="BG763" s="144">
        <f t="shared" ref="BG763" si="2281">+BE763/BA763</f>
        <v>7.0314720565549577E-2</v>
      </c>
      <c r="BH763" s="66"/>
      <c r="BI763" s="170"/>
      <c r="BJ763" s="66"/>
      <c r="BK763" s="66"/>
      <c r="BL763" s="66"/>
      <c r="BM763" s="144"/>
      <c r="BN763" s="65">
        <f t="shared" ref="BN763" si="2282">+BC763/BW763</f>
        <v>1316240.9694960213</v>
      </c>
      <c r="BO763" s="66"/>
      <c r="BP763" s="66">
        <f t="shared" ref="BP763" si="2283">+BP762+BE763</f>
        <v>71135826</v>
      </c>
      <c r="BQ763" s="66"/>
      <c r="BR763" s="435">
        <f t="shared" ref="BR763" si="2284">+BP763/BC763</f>
        <v>7.1677298460858546E-2</v>
      </c>
      <c r="BS763" s="66"/>
      <c r="BT763" s="75"/>
      <c r="BU763" s="170"/>
      <c r="BV763" s="1"/>
      <c r="BW763" s="61">
        <f t="shared" si="1544"/>
        <v>754</v>
      </c>
      <c r="BZ763" s="1"/>
      <c r="CA763" s="61"/>
    </row>
    <row r="764" spans="2:79" x14ac:dyDescent="0.3">
      <c r="B764" s="158">
        <f t="shared" si="1063"/>
        <v>44664</v>
      </c>
      <c r="C764" s="61"/>
      <c r="D764" s="17">
        <v>37588</v>
      </c>
      <c r="E764" s="16"/>
      <c r="F764" s="16"/>
      <c r="G764" s="16"/>
      <c r="H764" s="16">
        <f t="shared" ref="H764" si="2285">+H763+D764</f>
        <v>72080392</v>
      </c>
      <c r="I764" s="16"/>
      <c r="J764" s="436">
        <f t="shared" ref="J764" si="2286">+D764/H763</f>
        <v>5.2174537792837718E-4</v>
      </c>
      <c r="K764" s="16"/>
      <c r="L764" s="16"/>
      <c r="M764" s="16"/>
      <c r="N764" s="16">
        <f t="shared" ref="N764" si="2287">SUM(D758:D764)</f>
        <v>182924</v>
      </c>
      <c r="O764" s="16">
        <f t="shared" ref="O764" si="2288">+H764/BW764</f>
        <v>95470.717880794706</v>
      </c>
      <c r="P764" s="41"/>
      <c r="Q764" s="17">
        <f t="shared" ref="Q764" si="2289">SUM(D758:D764)</f>
        <v>182924</v>
      </c>
      <c r="R764" s="16"/>
      <c r="S764" s="60">
        <f t="shared" ref="S764" si="2290">+(Q764-Q757)/Q757</f>
        <v>0.14429055787010972</v>
      </c>
      <c r="T764" s="16"/>
      <c r="U764" s="41"/>
      <c r="V764" s="10">
        <f t="shared" si="558"/>
        <v>656</v>
      </c>
      <c r="W764" s="34">
        <v>331</v>
      </c>
      <c r="X764" s="33">
        <v>4256</v>
      </c>
      <c r="Y764" s="33"/>
      <c r="Z764" s="33">
        <f t="shared" ref="Z764" si="2291">SUM(W759:W764)</f>
        <v>1564</v>
      </c>
      <c r="AA764" s="33">
        <f t="shared" ref="AA764" si="2292">+AA763+W764</f>
        <v>887990</v>
      </c>
      <c r="AB764" s="33"/>
      <c r="AC764" s="46">
        <f t="shared" ref="AC764" si="2293">+AA764/H764</f>
        <v>1.2319439106269011E-2</v>
      </c>
      <c r="AD764" s="33"/>
      <c r="AE764" s="33">
        <f t="shared" ref="AE764" si="2294">+AA764/BW764</f>
        <v>1176.1456953642385</v>
      </c>
      <c r="AF764" s="50"/>
      <c r="AG764" s="33"/>
      <c r="AH764" s="33"/>
      <c r="AI764" s="213"/>
      <c r="AJ764" s="50"/>
      <c r="AL764" s="23">
        <f t="shared" ref="AL764" si="2295">+AP764-AP763</f>
        <v>37475</v>
      </c>
      <c r="AM764" s="24"/>
      <c r="AN764" s="24"/>
      <c r="AO764" s="24">
        <v>178263</v>
      </c>
      <c r="AP764" s="24">
        <v>80052556</v>
      </c>
      <c r="AQ764" s="24">
        <v>20336656</v>
      </c>
      <c r="AR764" s="461">
        <f t="shared" ref="AR764" si="2296">+AL764/AP763</f>
        <v>4.6834921031948965E-4</v>
      </c>
      <c r="AS764" s="25"/>
      <c r="AT764" s="25"/>
      <c r="AU764" s="24"/>
      <c r="AV764" s="298">
        <f t="shared" ref="AV764" si="2297">+AP764/H764</f>
        <v>1.1106010078302571</v>
      </c>
      <c r="AW764" s="298"/>
      <c r="AX764" s="24">
        <f t="shared" ref="AX764" si="2298">+AP764/BW764</f>
        <v>106029.87549668874</v>
      </c>
      <c r="AY764" s="308"/>
      <c r="BA764" s="65">
        <f t="shared" ref="BA764" si="2299">+BC764-BC763</f>
        <v>839522</v>
      </c>
      <c r="BB764" s="66"/>
      <c r="BC764" s="66">
        <v>993285213</v>
      </c>
      <c r="BD764" s="66"/>
      <c r="BE764" s="66">
        <f t="shared" ref="BE764" si="2300">+D764</f>
        <v>37588</v>
      </c>
      <c r="BF764" s="66"/>
      <c r="BG764" s="144">
        <f t="shared" ref="BG764" si="2301">+BE764/BA764</f>
        <v>4.4773097071905202E-2</v>
      </c>
      <c r="BH764" s="66"/>
      <c r="BI764" s="170"/>
      <c r="BJ764" s="66"/>
      <c r="BK764" s="66"/>
      <c r="BL764" s="66"/>
      <c r="BM764" s="144"/>
      <c r="BN764" s="65">
        <f t="shared" ref="BN764" si="2302">+BC764/BW764</f>
        <v>1315609.553642384</v>
      </c>
      <c r="BO764" s="66"/>
      <c r="BP764" s="66">
        <f t="shared" ref="BP764" si="2303">+BP763+BE764</f>
        <v>71173414</v>
      </c>
      <c r="BQ764" s="66"/>
      <c r="BR764" s="435">
        <f t="shared" ref="BR764" si="2304">+BP764/BC764</f>
        <v>7.1654559101948498E-2</v>
      </c>
      <c r="BS764" s="66"/>
      <c r="BT764" s="75"/>
      <c r="BU764" s="170"/>
      <c r="BV764" s="1"/>
      <c r="BW764" s="61">
        <f t="shared" si="1544"/>
        <v>755</v>
      </c>
      <c r="BZ764" s="1"/>
      <c r="CA764" s="61"/>
    </row>
    <row r="765" spans="2:79" x14ac:dyDescent="0.3">
      <c r="B765" s="158">
        <f t="shared" si="1063"/>
        <v>44665</v>
      </c>
      <c r="C765" s="61"/>
      <c r="D765" s="17">
        <v>42436</v>
      </c>
      <c r="E765" s="16"/>
      <c r="F765" s="16"/>
      <c r="G765" s="16"/>
      <c r="H765" s="16">
        <f t="shared" ref="H765" si="2305">+H764+D765</f>
        <v>72122828</v>
      </c>
      <c r="I765" s="16"/>
      <c r="J765" s="436">
        <f t="shared" ref="J765" si="2306">+D765/H764</f>
        <v>5.8873153742005182E-4</v>
      </c>
      <c r="K765" s="16"/>
      <c r="L765" s="16"/>
      <c r="M765" s="16"/>
      <c r="N765" s="16">
        <f t="shared" ref="N765" si="2307">SUM(D759:D765)</f>
        <v>192701</v>
      </c>
      <c r="O765" s="16">
        <f t="shared" ref="O765" si="2308">+H765/BW765</f>
        <v>95400.566137566144</v>
      </c>
      <c r="P765" s="41"/>
      <c r="Q765" s="17">
        <f t="shared" ref="Q765" si="2309">SUM(D759:D765)</f>
        <v>192701</v>
      </c>
      <c r="R765" s="16"/>
      <c r="S765" s="60">
        <f t="shared" ref="S765" si="2310">+(Q765-Q758)/Q758</f>
        <v>0.21996631973460964</v>
      </c>
      <c r="T765" s="16"/>
      <c r="U765" s="41"/>
      <c r="V765" s="10">
        <f t="shared" si="558"/>
        <v>657</v>
      </c>
      <c r="W765" s="34">
        <v>361</v>
      </c>
      <c r="X765" s="33">
        <v>4256</v>
      </c>
      <c r="Y765" s="33"/>
      <c r="Z765" s="33">
        <f t="shared" ref="Z765" si="2311">SUM(W760:W765)</f>
        <v>1521</v>
      </c>
      <c r="AA765" s="33">
        <f t="shared" ref="AA765" si="2312">+AA764+W765</f>
        <v>888351</v>
      </c>
      <c r="AB765" s="33"/>
      <c r="AC765" s="46">
        <f t="shared" ref="AC765" si="2313">+AA765/H765</f>
        <v>1.2317195881448242E-2</v>
      </c>
      <c r="AD765" s="33"/>
      <c r="AE765" s="33">
        <f t="shared" ref="AE765" si="2314">+AA765/BW765</f>
        <v>1175.0674603174602</v>
      </c>
      <c r="AF765" s="50"/>
      <c r="AG765" s="33"/>
      <c r="AH765" s="33"/>
      <c r="AI765" s="213"/>
      <c r="AJ765" s="50"/>
      <c r="AL765" s="23">
        <f t="shared" ref="AL765" si="2315">+AP765-AP764</f>
        <v>42791</v>
      </c>
      <c r="AM765" s="24"/>
      <c r="AN765" s="24"/>
      <c r="AO765" s="24">
        <v>178263</v>
      </c>
      <c r="AP765" s="24">
        <v>80095347</v>
      </c>
      <c r="AQ765" s="24">
        <v>20336656</v>
      </c>
      <c r="AR765" s="461">
        <f t="shared" ref="AR765" si="2316">+AL765/AP764</f>
        <v>5.3453633635383233E-4</v>
      </c>
      <c r="AS765" s="25"/>
      <c r="AT765" s="25"/>
      <c r="AU765" s="24"/>
      <c r="AV765" s="298">
        <f t="shared" ref="AV765" si="2317">+AP765/H765</f>
        <v>1.1105408539997905</v>
      </c>
      <c r="AW765" s="298"/>
      <c r="AX765" s="24">
        <f t="shared" ref="AX765" si="2318">+AP765/BW765</f>
        <v>105946.22619047618</v>
      </c>
      <c r="AY765" s="308"/>
      <c r="BA765" s="65">
        <f t="shared" ref="BA765" si="2319">+BC765-BC764</f>
        <v>1457636</v>
      </c>
      <c r="BB765" s="66"/>
      <c r="BC765" s="66">
        <v>994742849</v>
      </c>
      <c r="BD765" s="66"/>
      <c r="BE765" s="66">
        <f t="shared" ref="BE765" si="2320">+D765</f>
        <v>42436</v>
      </c>
      <c r="BF765" s="66"/>
      <c r="BG765" s="144">
        <f t="shared" ref="BG765" si="2321">+BE765/BA765</f>
        <v>2.9112892381911535E-2</v>
      </c>
      <c r="BH765" s="66"/>
      <c r="BI765" s="170"/>
      <c r="BJ765" s="66"/>
      <c r="BK765" s="66"/>
      <c r="BL765" s="66"/>
      <c r="BM765" s="144"/>
      <c r="BN765" s="65">
        <f t="shared" ref="BN765" si="2322">+BC765/BW765</f>
        <v>1315797.4193121693</v>
      </c>
      <c r="BO765" s="66"/>
      <c r="BP765" s="66">
        <f t="shared" ref="BP765" si="2323">+BP764+BE765</f>
        <v>71215850</v>
      </c>
      <c r="BQ765" s="66"/>
      <c r="BR765" s="435">
        <f t="shared" ref="BR765" si="2324">+BP765/BC765</f>
        <v>7.1592221116836594E-2</v>
      </c>
      <c r="BS765" s="66"/>
      <c r="BT765" s="75"/>
      <c r="BU765" s="170"/>
      <c r="BV765" s="1"/>
      <c r="BW765" s="61">
        <f t="shared" si="1544"/>
        <v>756</v>
      </c>
      <c r="BZ765" s="1"/>
      <c r="CA765" s="61"/>
    </row>
    <row r="766" spans="2:79" x14ac:dyDescent="0.3">
      <c r="B766" s="158">
        <f t="shared" si="1063"/>
        <v>44666</v>
      </c>
      <c r="C766" s="61"/>
      <c r="D766" s="17">
        <v>39583</v>
      </c>
      <c r="E766" s="16"/>
      <c r="F766" s="16"/>
      <c r="G766" s="16"/>
      <c r="H766" s="16">
        <f t="shared" ref="H766" si="2325">+H765+D766</f>
        <v>72162411</v>
      </c>
      <c r="I766" s="16"/>
      <c r="J766" s="436">
        <f t="shared" ref="J766" si="2326">+D766/H765</f>
        <v>5.4882761946051261E-4</v>
      </c>
      <c r="K766" s="16"/>
      <c r="L766" s="16"/>
      <c r="M766" s="16"/>
      <c r="N766" s="16">
        <f t="shared" ref="N766" si="2327">SUM(D760:D766)</f>
        <v>196999</v>
      </c>
      <c r="O766" s="16">
        <f t="shared" ref="O766" si="2328">+H766/BW766</f>
        <v>95326.83091149274</v>
      </c>
      <c r="P766" s="41"/>
      <c r="Q766" s="17">
        <f t="shared" ref="Q766" si="2329">SUM(D760:D766)</f>
        <v>196999</v>
      </c>
      <c r="R766" s="16"/>
      <c r="S766" s="60">
        <f t="shared" ref="S766" si="2330">+(Q766-Q759)/Q759</f>
        <v>0.21166029055392224</v>
      </c>
      <c r="T766" s="16"/>
      <c r="U766" s="41"/>
      <c r="V766" s="10">
        <f t="shared" si="558"/>
        <v>658</v>
      </c>
      <c r="W766" s="34">
        <v>372</v>
      </c>
      <c r="X766" s="33">
        <v>4256</v>
      </c>
      <c r="Y766" s="33"/>
      <c r="Z766" s="33">
        <f t="shared" ref="Z766" si="2331">SUM(W761:W766)</f>
        <v>1738</v>
      </c>
      <c r="AA766" s="33">
        <f t="shared" ref="AA766" si="2332">+AA765+W766</f>
        <v>888723</v>
      </c>
      <c r="AB766" s="33"/>
      <c r="AC766" s="46">
        <f t="shared" ref="AC766" si="2333">+AA766/H766</f>
        <v>1.2315594610606899E-2</v>
      </c>
      <c r="AD766" s="33"/>
      <c r="AE766" s="33">
        <f t="shared" ref="AE766" si="2334">+AA766/BW766</f>
        <v>1174.006605019815</v>
      </c>
      <c r="AF766" s="50"/>
      <c r="AG766" s="33"/>
      <c r="AH766" s="33"/>
      <c r="AI766" s="213"/>
      <c r="AJ766" s="50"/>
      <c r="AL766" s="23">
        <f t="shared" ref="AL766" si="2335">+AP766-AP765</f>
        <v>32962</v>
      </c>
      <c r="AM766" s="24"/>
      <c r="AN766" s="24"/>
      <c r="AO766" s="24">
        <v>178263</v>
      </c>
      <c r="AP766" s="24">
        <v>80128309</v>
      </c>
      <c r="AQ766" s="24">
        <v>20336656</v>
      </c>
      <c r="AR766" s="461">
        <f t="shared" ref="AR766" si="2336">+AL766/AP765</f>
        <v>4.1153451772922589E-4</v>
      </c>
      <c r="AS766" s="25"/>
      <c r="AT766" s="25"/>
      <c r="AU766" s="24"/>
      <c r="AV766" s="298">
        <f t="shared" ref="AV766" si="2337">+AP766/H766</f>
        <v>1.1103884680349718</v>
      </c>
      <c r="AW766" s="298"/>
      <c r="AX766" s="24">
        <f t="shared" ref="AX766" si="2338">+AP766/BW766</f>
        <v>105849.81373844121</v>
      </c>
      <c r="AY766" s="308"/>
      <c r="BA766" s="65">
        <f t="shared" ref="BA766" si="2339">+BC766-BC765</f>
        <v>833533</v>
      </c>
      <c r="BB766" s="66"/>
      <c r="BC766" s="66">
        <v>995576382</v>
      </c>
      <c r="BD766" s="66"/>
      <c r="BE766" s="66">
        <f t="shared" ref="BE766" si="2340">+D766</f>
        <v>39583</v>
      </c>
      <c r="BF766" s="66"/>
      <c r="BG766" s="144">
        <f t="shared" ref="BG766" si="2341">+BE766/BA766</f>
        <v>4.7488221822051438E-2</v>
      </c>
      <c r="BH766" s="66"/>
      <c r="BI766" s="170"/>
      <c r="BJ766" s="66"/>
      <c r="BK766" s="66"/>
      <c r="BL766" s="66"/>
      <c r="BM766" s="144"/>
      <c r="BN766" s="65">
        <f t="shared" ref="BN766" si="2342">+BC766/BW766</f>
        <v>1315160.3461030384</v>
      </c>
      <c r="BO766" s="66"/>
      <c r="BP766" s="66">
        <f t="shared" ref="BP766" si="2343">+BP765+BE766</f>
        <v>71255433</v>
      </c>
      <c r="BQ766" s="66"/>
      <c r="BR766" s="435">
        <f t="shared" ref="BR766" si="2344">+BP766/BC766</f>
        <v>7.1572040366060033E-2</v>
      </c>
      <c r="BS766" s="66"/>
      <c r="BT766" s="75"/>
      <c r="BU766" s="170"/>
      <c r="BV766" s="1"/>
      <c r="BW766" s="61">
        <f t="shared" si="1544"/>
        <v>757</v>
      </c>
      <c r="BZ766" s="1"/>
      <c r="CA766" s="61"/>
    </row>
    <row r="767" spans="2:79" x14ac:dyDescent="0.3">
      <c r="B767" s="158">
        <f t="shared" si="1063"/>
        <v>44667</v>
      </c>
      <c r="C767" s="61"/>
      <c r="D767" s="17">
        <v>12890</v>
      </c>
      <c r="E767" s="16"/>
      <c r="F767" s="16"/>
      <c r="G767" s="16"/>
      <c r="H767" s="16">
        <f t="shared" ref="H767" si="2345">+H766+D767</f>
        <v>72175301</v>
      </c>
      <c r="I767" s="16"/>
      <c r="J767" s="436">
        <f t="shared" ref="J767" si="2346">+D767/H766</f>
        <v>1.7862485221010701E-4</v>
      </c>
      <c r="K767" s="16"/>
      <c r="L767" s="16"/>
      <c r="M767" s="16"/>
      <c r="N767" s="16">
        <f t="shared" ref="N767" si="2347">SUM(D761:D767)</f>
        <v>194317</v>
      </c>
      <c r="O767" s="16">
        <f t="shared" ref="O767" si="2348">+H767/BW767</f>
        <v>95218.075197889179</v>
      </c>
      <c r="P767" s="41"/>
      <c r="Q767" s="17">
        <f t="shared" ref="Q767" si="2349">SUM(D761:D767)</f>
        <v>194317</v>
      </c>
      <c r="R767" s="16"/>
      <c r="S767" s="60">
        <f t="shared" ref="S767" si="2350">+(Q767-Q760)/Q760</f>
        <v>0.17414212946458243</v>
      </c>
      <c r="T767" s="16"/>
      <c r="U767" s="41"/>
      <c r="V767" s="10">
        <f t="shared" si="558"/>
        <v>659</v>
      </c>
      <c r="W767" s="34">
        <v>80</v>
      </c>
      <c r="X767" s="33">
        <v>4256</v>
      </c>
      <c r="Y767" s="33"/>
      <c r="Z767" s="33">
        <f t="shared" ref="Z767" si="2351">SUM(W762:W767)</f>
        <v>1798</v>
      </c>
      <c r="AA767" s="33">
        <f t="shared" ref="AA767" si="2352">+AA766+W767</f>
        <v>888803</v>
      </c>
      <c r="AB767" s="33"/>
      <c r="AC767" s="46">
        <f t="shared" ref="AC767" si="2353">+AA767/H767</f>
        <v>1.231450354464057E-2</v>
      </c>
      <c r="AD767" s="33"/>
      <c r="AE767" s="33">
        <f t="shared" ref="AE767" si="2354">+AA767/BW767</f>
        <v>1172.5633245382585</v>
      </c>
      <c r="AF767" s="50"/>
      <c r="AG767" s="33"/>
      <c r="AH767" s="33"/>
      <c r="AI767" s="213"/>
      <c r="AJ767" s="50"/>
      <c r="AL767" s="23">
        <f t="shared" ref="AL767" si="2355">+AP767-AP766</f>
        <v>37972</v>
      </c>
      <c r="AM767" s="24"/>
      <c r="AN767" s="24"/>
      <c r="AO767" s="24">
        <v>178263</v>
      </c>
      <c r="AP767" s="24">
        <v>80166281</v>
      </c>
      <c r="AQ767" s="24">
        <v>20336656</v>
      </c>
      <c r="AR767" s="461">
        <f t="shared" ref="AR767" si="2356">+AL767/AP766</f>
        <v>4.7388994568698561E-4</v>
      </c>
      <c r="AS767" s="25"/>
      <c r="AT767" s="25"/>
      <c r="AU767" s="24"/>
      <c r="AV767" s="298">
        <f t="shared" ref="AV767" si="2357">+AP767/H767</f>
        <v>1.1107162684364835</v>
      </c>
      <c r="AW767" s="298"/>
      <c r="AX767" s="24">
        <f t="shared" ref="AX767" si="2358">+AP767/BW767</f>
        <v>105760.26517150395</v>
      </c>
      <c r="AY767" s="308"/>
      <c r="BA767" s="65">
        <f t="shared" ref="BA767" si="2359">+BC767-BC766</f>
        <v>168901</v>
      </c>
      <c r="BB767" s="66"/>
      <c r="BC767" s="66">
        <v>995745283</v>
      </c>
      <c r="BD767" s="66"/>
      <c r="BE767" s="66">
        <f t="shared" ref="BE767" si="2360">+D767</f>
        <v>12890</v>
      </c>
      <c r="BF767" s="66"/>
      <c r="BG767" s="144">
        <f t="shared" ref="BG767" si="2361">+BE767/BA767</f>
        <v>7.6316895696295461E-2</v>
      </c>
      <c r="BH767" s="66"/>
      <c r="BI767" s="170"/>
      <c r="BJ767" s="66"/>
      <c r="BK767" s="66"/>
      <c r="BL767" s="66"/>
      <c r="BM767" s="144"/>
      <c r="BN767" s="65">
        <f t="shared" ref="BN767" si="2362">+BC767/BW767</f>
        <v>1313648.1306068602</v>
      </c>
      <c r="BO767" s="66"/>
      <c r="BP767" s="66">
        <f t="shared" ref="BP767" si="2363">+BP766+BE767</f>
        <v>71268323</v>
      </c>
      <c r="BQ767" s="66"/>
      <c r="BR767" s="435">
        <f t="shared" ref="BR767" si="2364">+BP767/BC767</f>
        <v>7.1572845201215984E-2</v>
      </c>
      <c r="BS767" s="66"/>
      <c r="BT767" s="75"/>
      <c r="BU767" s="170"/>
      <c r="BV767" s="1"/>
      <c r="BW767" s="61">
        <f t="shared" si="1544"/>
        <v>758</v>
      </c>
      <c r="BZ767" s="1"/>
      <c r="CA767" s="61"/>
    </row>
    <row r="768" spans="2:79" x14ac:dyDescent="0.3">
      <c r="B768" s="347">
        <f t="shared" si="1063"/>
        <v>44668</v>
      </c>
      <c r="C768" s="61"/>
      <c r="D768" s="17">
        <v>7235</v>
      </c>
      <c r="E768" s="16"/>
      <c r="F768" s="16"/>
      <c r="G768" s="16"/>
      <c r="H768" s="16">
        <f t="shared" ref="H768" si="2365">+H767+D768</f>
        <v>72182536</v>
      </c>
      <c r="I768" s="16"/>
      <c r="J768" s="436">
        <f t="shared" ref="J768" si="2366">+D768/H767</f>
        <v>1.0024204817656389E-4</v>
      </c>
      <c r="K768" s="16"/>
      <c r="L768" s="16"/>
      <c r="M768" s="16"/>
      <c r="N768" s="16">
        <f t="shared" ref="N768" si="2367">SUM(D762:D768)</f>
        <v>191805</v>
      </c>
      <c r="O768" s="16">
        <f t="shared" ref="O768" si="2368">+H768/BW768</f>
        <v>95102.155467720688</v>
      </c>
      <c r="P768" s="41"/>
      <c r="Q768" s="17">
        <f t="shared" ref="Q768" si="2369">SUM(D762:D768)</f>
        <v>191805</v>
      </c>
      <c r="R768" s="16"/>
      <c r="S768" s="60">
        <f t="shared" ref="S768" si="2370">+(Q768-Q761)/Q761</f>
        <v>0.13492068188138673</v>
      </c>
      <c r="T768" s="16"/>
      <c r="U768" s="41"/>
      <c r="V768" s="10">
        <f t="shared" si="558"/>
        <v>660</v>
      </c>
      <c r="W768" s="34">
        <v>10</v>
      </c>
      <c r="X768" s="33">
        <v>4256</v>
      </c>
      <c r="Y768" s="33"/>
      <c r="Z768" s="33">
        <f t="shared" ref="Z768" si="2371">SUM(W763:W768)</f>
        <v>1659</v>
      </c>
      <c r="AA768" s="33">
        <f t="shared" ref="AA768" si="2372">+AA767+W768</f>
        <v>888813</v>
      </c>
      <c r="AB768" s="33"/>
      <c r="AC768" s="46">
        <f t="shared" ref="AC768" si="2373">+AA768/H768</f>
        <v>1.2313407774977593E-2</v>
      </c>
      <c r="AD768" s="33"/>
      <c r="AE768" s="33">
        <f t="shared" ref="AE768" si="2374">+AA768/BW768</f>
        <v>1171.0316205533597</v>
      </c>
      <c r="AF768" s="50"/>
      <c r="AG768" s="33"/>
      <c r="AH768" s="33"/>
      <c r="AI768" s="213"/>
      <c r="AJ768" s="50"/>
      <c r="AL768" s="23">
        <f t="shared" ref="AL768" si="2375">+AP768-AP767</f>
        <v>36033</v>
      </c>
      <c r="AM768" s="24"/>
      <c r="AN768" s="24"/>
      <c r="AO768" s="24">
        <v>178263</v>
      </c>
      <c r="AP768" s="24">
        <v>80202314</v>
      </c>
      <c r="AQ768" s="24">
        <v>20336656</v>
      </c>
      <c r="AR768" s="461">
        <f t="shared" ref="AR768" si="2376">+AL768/AP767</f>
        <v>4.4947825383093425E-4</v>
      </c>
      <c r="AS768" s="25"/>
      <c r="AT768" s="25"/>
      <c r="AU768" s="24"/>
      <c r="AV768" s="298">
        <f t="shared" ref="AV768" si="2377">+AP768/H768</f>
        <v>1.1111041318914037</v>
      </c>
      <c r="AW768" s="298"/>
      <c r="AX768" s="24">
        <f t="shared" ref="AX768" si="2378">+AP768/BW768</f>
        <v>105668.3978919631</v>
      </c>
      <c r="AY768" s="308"/>
      <c r="BA768" s="65">
        <f t="shared" ref="BA768" si="2379">+BC768-BC767</f>
        <v>114281</v>
      </c>
      <c r="BB768" s="66"/>
      <c r="BC768" s="66">
        <v>995859564</v>
      </c>
      <c r="BD768" s="66"/>
      <c r="BE768" s="66">
        <f t="shared" ref="BE768" si="2380">+D768</f>
        <v>7235</v>
      </c>
      <c r="BF768" s="66"/>
      <c r="BG768" s="144">
        <f t="shared" ref="BG768" si="2381">+BE768/BA768</f>
        <v>6.330886149053648E-2</v>
      </c>
      <c r="BH768" s="66"/>
      <c r="BI768" s="170"/>
      <c r="BJ768" s="66"/>
      <c r="BK768" s="66"/>
      <c r="BL768" s="66"/>
      <c r="BM768" s="144"/>
      <c r="BN768" s="65">
        <f t="shared" ref="BN768" si="2382">+BC768/BW768</f>
        <v>1312067.9367588933</v>
      </c>
      <c r="BO768" s="66"/>
      <c r="BP768" s="66">
        <f t="shared" ref="BP768" si="2383">+BP767+BE768</f>
        <v>71275558</v>
      </c>
      <c r="BQ768" s="66"/>
      <c r="BR768" s="435">
        <f t="shared" ref="BR768" si="2384">+BP768/BC768</f>
        <v>7.1571896858340561E-2</v>
      </c>
      <c r="BS768" s="66"/>
      <c r="BT768" s="75"/>
      <c r="BU768" s="170"/>
      <c r="BV768" s="1"/>
      <c r="BW768" s="61">
        <f t="shared" si="1544"/>
        <v>759</v>
      </c>
      <c r="BY768" s="145">
        <f>SUM(BA762:BA768)</f>
        <v>4686160</v>
      </c>
      <c r="BZ768" s="1"/>
    </row>
    <row r="769" spans="2:79" x14ac:dyDescent="0.3">
      <c r="B769" s="158">
        <f t="shared" si="1063"/>
        <v>44669</v>
      </c>
      <c r="C769" s="61"/>
      <c r="D769" s="17">
        <v>25021</v>
      </c>
      <c r="E769" s="16"/>
      <c r="F769" s="16"/>
      <c r="G769" s="16"/>
      <c r="H769" s="16">
        <f t="shared" ref="H769" si="2385">+H768+D769</f>
        <v>72207557</v>
      </c>
      <c r="I769" s="16"/>
      <c r="J769" s="436">
        <f t="shared" ref="J769" si="2386">+D769/H768</f>
        <v>3.4663509190089968E-4</v>
      </c>
      <c r="K769" s="16"/>
      <c r="L769" s="16"/>
      <c r="M769" s="16"/>
      <c r="N769" s="16">
        <f t="shared" ref="N769" si="2387">SUM(D763:D769)</f>
        <v>193697</v>
      </c>
      <c r="O769" s="16">
        <f t="shared" ref="O769" si="2388">+H769/BW769</f>
        <v>95009.943421052638</v>
      </c>
      <c r="P769" s="41"/>
      <c r="Q769" s="17">
        <f t="shared" ref="Q769" si="2389">SUM(D763:D769)</f>
        <v>193697</v>
      </c>
      <c r="R769" s="16"/>
      <c r="S769" s="60">
        <f t="shared" ref="S769" si="2390">+(Q769-Q762)/Q762</f>
        <v>0.11970056072605353</v>
      </c>
      <c r="T769" s="16"/>
      <c r="U769" s="41"/>
      <c r="V769" s="10">
        <f t="shared" si="558"/>
        <v>661</v>
      </c>
      <c r="W769" s="34">
        <v>104</v>
      </c>
      <c r="X769" s="33">
        <v>4256</v>
      </c>
      <c r="Y769" s="33"/>
      <c r="Z769" s="33">
        <f t="shared" ref="Z769" si="2391">SUM(W764:W769)</f>
        <v>1258</v>
      </c>
      <c r="AA769" s="33">
        <f t="shared" ref="AA769" si="2392">+AA768+W769</f>
        <v>888917</v>
      </c>
      <c r="AB769" s="33"/>
      <c r="AC769" s="46">
        <f t="shared" ref="AC769" si="2393">+AA769/H769</f>
        <v>1.231058128721901E-2</v>
      </c>
      <c r="AD769" s="33"/>
      <c r="AE769" s="33">
        <f t="shared" ref="AE769" si="2394">+AA769/BW769</f>
        <v>1169.6276315789473</v>
      </c>
      <c r="AF769" s="50"/>
      <c r="AG769" s="33"/>
      <c r="AH769" s="33"/>
      <c r="AI769" s="213"/>
      <c r="AJ769" s="50"/>
      <c r="AL769" s="23">
        <f t="shared" ref="AL769" si="2395">+AP769-AP768</f>
        <v>41651</v>
      </c>
      <c r="AM769" s="24"/>
      <c r="AN769" s="24"/>
      <c r="AO769" s="24">
        <v>178263</v>
      </c>
      <c r="AP769" s="24">
        <v>80243965</v>
      </c>
      <c r="AQ769" s="24">
        <v>20336656</v>
      </c>
      <c r="AR769" s="461">
        <f t="shared" ref="AR769" si="2396">+AL769/AP768</f>
        <v>5.1932416812811662E-4</v>
      </c>
      <c r="AS769" s="25"/>
      <c r="AT769" s="25"/>
      <c r="AU769" s="24"/>
      <c r="AV769" s="298">
        <f t="shared" ref="AV769" si="2397">+AP769/H769</f>
        <v>1.1112959409497818</v>
      </c>
      <c r="AW769" s="298"/>
      <c r="AX769" s="24">
        <f t="shared" ref="AX769" si="2398">+AP769/BW769</f>
        <v>105584.16447368421</v>
      </c>
      <c r="AY769" s="308"/>
      <c r="BA769" s="65">
        <f t="shared" ref="BA769" si="2399">+BC769-BC768</f>
        <v>779561</v>
      </c>
      <c r="BB769" s="66"/>
      <c r="BC769" s="66">
        <v>996639125</v>
      </c>
      <c r="BD769" s="66"/>
      <c r="BE769" s="66">
        <f t="shared" ref="BE769" si="2400">+D769</f>
        <v>25021</v>
      </c>
      <c r="BF769" s="66"/>
      <c r="BG769" s="144">
        <f t="shared" ref="BG769" si="2401">+BE769/BA769</f>
        <v>3.2096269567102508E-2</v>
      </c>
      <c r="BH769" s="66"/>
      <c r="BI769" s="170"/>
      <c r="BJ769" s="66"/>
      <c r="BK769" s="66"/>
      <c r="BL769" s="66"/>
      <c r="BM769" s="144"/>
      <c r="BN769" s="65">
        <f t="shared" ref="BN769" si="2402">+BC769/BW769</f>
        <v>1311367.269736842</v>
      </c>
      <c r="BO769" s="66"/>
      <c r="BP769" s="66">
        <f t="shared" ref="BP769" si="2403">+BP768+BE769</f>
        <v>71300579</v>
      </c>
      <c r="BQ769" s="66"/>
      <c r="BR769" s="435">
        <f t="shared" ref="BR769" si="2404">+BP769/BC769</f>
        <v>7.1541019423655483E-2</v>
      </c>
      <c r="BS769" s="66"/>
      <c r="BT769" s="75"/>
      <c r="BU769" s="170"/>
      <c r="BV769" s="1"/>
      <c r="BW769" s="61">
        <f t="shared" si="1544"/>
        <v>760</v>
      </c>
      <c r="BY769" s="56">
        <f>+BY690-BY768</f>
        <v>13511733</v>
      </c>
      <c r="BZ769" s="1"/>
      <c r="CA769" s="61"/>
    </row>
    <row r="770" spans="2:79" x14ac:dyDescent="0.3">
      <c r="B770" s="158">
        <f t="shared" si="1063"/>
        <v>44670</v>
      </c>
      <c r="C770" s="61"/>
      <c r="D770" s="17">
        <v>33193</v>
      </c>
      <c r="E770" s="16"/>
      <c r="F770" s="16"/>
      <c r="G770" s="16"/>
      <c r="H770" s="16">
        <f t="shared" ref="H770" si="2405">+H769+D770</f>
        <v>72240750</v>
      </c>
      <c r="I770" s="16"/>
      <c r="J770" s="436">
        <f t="shared" ref="J770" si="2406">+D770/H769</f>
        <v>4.5968872759398298E-4</v>
      </c>
      <c r="K770" s="16"/>
      <c r="L770" s="16"/>
      <c r="M770" s="16"/>
      <c r="N770" s="16">
        <f t="shared" ref="N770" si="2407">SUM(D764:D770)</f>
        <v>197946</v>
      </c>
      <c r="O770" s="16">
        <f t="shared" ref="O770" si="2408">+H770/BW770</f>
        <v>94928.712220762158</v>
      </c>
      <c r="P770" s="41"/>
      <c r="Q770" s="17">
        <f t="shared" ref="Q770" si="2409">SUM(D764:D770)</f>
        <v>197946</v>
      </c>
      <c r="R770" s="16"/>
      <c r="S770" s="60">
        <f t="shared" ref="S770" si="2410">+(Q770-Q763)/Q763</f>
        <v>0.12179944914821993</v>
      </c>
      <c r="T770" s="16"/>
      <c r="U770" s="41"/>
      <c r="V770" s="10">
        <f t="shared" si="558"/>
        <v>662</v>
      </c>
      <c r="W770" s="34">
        <v>338</v>
      </c>
      <c r="X770" s="33">
        <v>4256</v>
      </c>
      <c r="Y770" s="33"/>
      <c r="Z770" s="33">
        <f t="shared" ref="Z770" si="2411">SUM(W765:W770)</f>
        <v>1265</v>
      </c>
      <c r="AA770" s="33">
        <f t="shared" ref="AA770" si="2412">+AA769+W770</f>
        <v>889255</v>
      </c>
      <c r="AB770" s="33"/>
      <c r="AC770" s="46">
        <f t="shared" ref="AC770" si="2413">+AA770/H770</f>
        <v>1.2309603651678588E-2</v>
      </c>
      <c r="AD770" s="33"/>
      <c r="AE770" s="33">
        <f t="shared" ref="AE770" si="2414">+AA770/BW770</f>
        <v>1168.5348226018398</v>
      </c>
      <c r="AF770" s="50"/>
      <c r="AG770" s="33"/>
      <c r="AH770" s="33"/>
      <c r="AI770" s="213"/>
      <c r="AJ770" s="50"/>
      <c r="AL770" s="23">
        <f t="shared" ref="AL770" si="2415">+AP770-AP769</f>
        <v>32232</v>
      </c>
      <c r="AM770" s="24"/>
      <c r="AN770" s="24"/>
      <c r="AO770" s="24">
        <v>178263</v>
      </c>
      <c r="AP770" s="24">
        <v>80276197</v>
      </c>
      <c r="AQ770" s="24">
        <v>20336656</v>
      </c>
      <c r="AR770" s="461">
        <f t="shared" ref="AR770" si="2416">+AL770/AP769</f>
        <v>4.0167506677916525E-4</v>
      </c>
      <c r="AS770" s="25"/>
      <c r="AT770" s="25"/>
      <c r="AU770" s="24"/>
      <c r="AV770" s="298">
        <f t="shared" ref="AV770" si="2417">+AP770/H770</f>
        <v>1.1112315002266726</v>
      </c>
      <c r="AW770" s="298"/>
      <c r="AX770" s="24">
        <f t="shared" ref="AX770" si="2418">+AP770/BW770</f>
        <v>105487.7752956636</v>
      </c>
      <c r="AY770" s="308"/>
      <c r="BA770" s="65">
        <f t="shared" ref="BA770" si="2419">+BC770-BC769</f>
        <v>476193</v>
      </c>
      <c r="BB770" s="66"/>
      <c r="BC770" s="66">
        <v>997115318</v>
      </c>
      <c r="BD770" s="66"/>
      <c r="BE770" s="66">
        <f t="shared" ref="BE770" si="2420">+D770</f>
        <v>33193</v>
      </c>
      <c r="BF770" s="66"/>
      <c r="BG770" s="144">
        <f t="shared" ref="BG770" si="2421">+BE770/BA770</f>
        <v>6.9704930563868006E-2</v>
      </c>
      <c r="BH770" s="66"/>
      <c r="BI770" s="170"/>
      <c r="BJ770" s="66"/>
      <c r="BK770" s="66"/>
      <c r="BL770" s="66"/>
      <c r="BM770" s="144"/>
      <c r="BN770" s="65">
        <f t="shared" ref="BN770" si="2422">+BC770/BW770</f>
        <v>1310269.8002628121</v>
      </c>
      <c r="BO770" s="66"/>
      <c r="BP770" s="66">
        <f t="shared" ref="BP770" si="2423">+BP769+BE770</f>
        <v>71333772</v>
      </c>
      <c r="BQ770" s="66"/>
      <c r="BR770" s="435">
        <f t="shared" ref="BR770" si="2424">+BP770/BC770</f>
        <v>7.1540142561524661E-2</v>
      </c>
      <c r="BS770" s="66"/>
      <c r="BT770" s="75"/>
      <c r="BU770" s="170"/>
      <c r="BV770" s="1"/>
      <c r="BW770" s="61">
        <f t="shared" si="1544"/>
        <v>761</v>
      </c>
      <c r="BY770" s="56"/>
      <c r="BZ770" s="1"/>
      <c r="CA770" s="61"/>
    </row>
    <row r="771" spans="2:79" x14ac:dyDescent="0.3">
      <c r="B771" s="158">
        <f t="shared" ref="B771:B834" si="2425">1+B770</f>
        <v>44671</v>
      </c>
      <c r="C771" s="61"/>
      <c r="D771" s="17">
        <v>46565</v>
      </c>
      <c r="E771" s="16"/>
      <c r="F771" s="16"/>
      <c r="G771" s="16"/>
      <c r="H771" s="16">
        <f t="shared" ref="H771" si="2426">+H770+D771</f>
        <v>72287315</v>
      </c>
      <c r="I771" s="16"/>
      <c r="J771" s="436">
        <f t="shared" ref="J771" si="2427">+D771/H770</f>
        <v>6.445807940809031E-4</v>
      </c>
      <c r="K771" s="16"/>
      <c r="L771" s="16"/>
      <c r="M771" s="16"/>
      <c r="N771" s="16">
        <f t="shared" ref="N771" si="2428">SUM(D765:D771)</f>
        <v>206923</v>
      </c>
      <c r="O771" s="16">
        <f t="shared" ref="O771" si="2429">+H771/BW771</f>
        <v>94865.242782152229</v>
      </c>
      <c r="P771" s="41"/>
      <c r="Q771" s="17">
        <f t="shared" ref="Q771" si="2430">SUM(D765:D771)</f>
        <v>206923</v>
      </c>
      <c r="R771" s="16"/>
      <c r="S771" s="60">
        <f t="shared" ref="S771" si="2431">+(Q771-Q764)/Q764</f>
        <v>0.13119656250683345</v>
      </c>
      <c r="T771" s="16"/>
      <c r="U771" s="41"/>
      <c r="V771" s="10">
        <f t="shared" si="558"/>
        <v>663</v>
      </c>
      <c r="W771" s="34">
        <v>408</v>
      </c>
      <c r="X771" s="33">
        <v>4256</v>
      </c>
      <c r="Y771" s="33"/>
      <c r="Z771" s="33">
        <f t="shared" ref="Z771" si="2432">SUM(W766:W771)</f>
        <v>1312</v>
      </c>
      <c r="AA771" s="33">
        <f t="shared" ref="AA771" si="2433">+AA770+W771</f>
        <v>889663</v>
      </c>
      <c r="AB771" s="33"/>
      <c r="AC771" s="46">
        <f t="shared" ref="AC771" si="2434">+AA771/H771</f>
        <v>1.2307318372524972E-2</v>
      </c>
      <c r="AD771" s="33"/>
      <c r="AE771" s="33">
        <f t="shared" ref="AE771" si="2435">+AA771/BW771</f>
        <v>1167.5367454068241</v>
      </c>
      <c r="AF771" s="50"/>
      <c r="AG771" s="33"/>
      <c r="AH771" s="33"/>
      <c r="AI771" s="213"/>
      <c r="AJ771" s="50"/>
      <c r="AL771" s="23">
        <f t="shared" ref="AL771" si="2436">+AP771-AP770</f>
        <v>33607</v>
      </c>
      <c r="AM771" s="24"/>
      <c r="AN771" s="24"/>
      <c r="AO771" s="24">
        <v>178263</v>
      </c>
      <c r="AP771" s="24">
        <v>80309804</v>
      </c>
      <c r="AQ771" s="24">
        <v>20336656</v>
      </c>
      <c r="AR771" s="461">
        <f t="shared" ref="AR771" si="2437">+AL771/AP770</f>
        <v>4.1864215366355735E-4</v>
      </c>
      <c r="AS771" s="25"/>
      <c r="AT771" s="25"/>
      <c r="AU771" s="24"/>
      <c r="AV771" s="298">
        <f t="shared" ref="AV771" si="2438">+AP771/H771</f>
        <v>1.1109805918230604</v>
      </c>
      <c r="AW771" s="298"/>
      <c r="AX771" s="24">
        <f t="shared" ref="AX771" si="2439">+AP771/BW771</f>
        <v>105393.44356955381</v>
      </c>
      <c r="AY771" s="308"/>
      <c r="BA771" s="65">
        <f t="shared" ref="BA771" si="2440">+BC771-BC770</f>
        <v>761590</v>
      </c>
      <c r="BB771" s="66"/>
      <c r="BC771" s="66">
        <v>997876908</v>
      </c>
      <c r="BD771" s="66"/>
      <c r="BE771" s="66">
        <f t="shared" ref="BE771" si="2441">+D771</f>
        <v>46565</v>
      </c>
      <c r="BF771" s="66"/>
      <c r="BG771" s="144">
        <f t="shared" ref="BG771" si="2442">+BE771/BA771</f>
        <v>6.1141821715096051E-2</v>
      </c>
      <c r="BH771" s="66"/>
      <c r="BI771" s="170"/>
      <c r="BJ771" s="66"/>
      <c r="BK771" s="66"/>
      <c r="BL771" s="66"/>
      <c r="BM771" s="144"/>
      <c r="BN771" s="65">
        <f t="shared" ref="BN771" si="2443">+BC771/BW771</f>
        <v>1309549.7480314961</v>
      </c>
      <c r="BO771" s="66"/>
      <c r="BP771" s="66">
        <f t="shared" ref="BP771" si="2444">+BP770+BE771</f>
        <v>71380337</v>
      </c>
      <c r="BQ771" s="66"/>
      <c r="BR771" s="435">
        <f t="shared" ref="BR771" si="2445">+BP771/BC771</f>
        <v>7.1532206455267533E-2</v>
      </c>
      <c r="BS771" s="66"/>
      <c r="BT771" s="75"/>
      <c r="BU771" s="170"/>
      <c r="BV771" s="1"/>
      <c r="BW771" s="61">
        <f t="shared" si="1544"/>
        <v>762</v>
      </c>
      <c r="BY771" s="56"/>
      <c r="BZ771" s="1"/>
      <c r="CA771" s="61"/>
    </row>
    <row r="772" spans="2:79" x14ac:dyDescent="0.3">
      <c r="B772" s="158">
        <f t="shared" si="2425"/>
        <v>44672</v>
      </c>
      <c r="C772" s="61"/>
      <c r="D772" s="17">
        <v>45204</v>
      </c>
      <c r="E772" s="16"/>
      <c r="F772" s="16"/>
      <c r="G772" s="16"/>
      <c r="H772" s="16">
        <f t="shared" ref="H772" si="2446">+H771+D772</f>
        <v>72332519</v>
      </c>
      <c r="I772" s="16"/>
      <c r="J772" s="436">
        <f t="shared" ref="J772" si="2447">+D772/H771</f>
        <v>6.2533793100490729E-4</v>
      </c>
      <c r="K772" s="16"/>
      <c r="L772" s="16"/>
      <c r="M772" s="16"/>
      <c r="N772" s="16">
        <f t="shared" ref="N772" si="2448">SUM(D766:D772)</f>
        <v>209691</v>
      </c>
      <c r="O772" s="16">
        <f t="shared" ref="O772" si="2449">+H772/BW772</f>
        <v>94800.15596330275</v>
      </c>
      <c r="P772" s="41"/>
      <c r="Q772" s="17">
        <f t="shared" ref="Q772" si="2450">SUM(D766:D772)</f>
        <v>209691</v>
      </c>
      <c r="R772" s="16"/>
      <c r="S772" s="60">
        <f t="shared" ref="S772" si="2451">+(Q772-Q765)/Q765</f>
        <v>8.8167679461964396E-2</v>
      </c>
      <c r="T772" s="16"/>
      <c r="U772" s="41"/>
      <c r="V772" s="10">
        <f t="shared" si="558"/>
        <v>664</v>
      </c>
      <c r="W772" s="34">
        <v>299</v>
      </c>
      <c r="X772" s="33">
        <v>4256</v>
      </c>
      <c r="Y772" s="33"/>
      <c r="Z772" s="33">
        <f t="shared" ref="Z772" si="2452">SUM(W767:W772)</f>
        <v>1239</v>
      </c>
      <c r="AA772" s="33">
        <f t="shared" ref="AA772" si="2453">+AA771+W772</f>
        <v>889962</v>
      </c>
      <c r="AB772" s="33"/>
      <c r="AC772" s="46">
        <f t="shared" ref="AC772" si="2454">+AA772/H772</f>
        <v>1.2303760636346703E-2</v>
      </c>
      <c r="AD772" s="33"/>
      <c r="AE772" s="33">
        <f t="shared" ref="AE772" si="2455">+AA772/BW772</f>
        <v>1166.3984272608125</v>
      </c>
      <c r="AF772" s="50"/>
      <c r="AG772" s="33"/>
      <c r="AH772" s="33"/>
      <c r="AI772" s="213"/>
      <c r="AJ772" s="50"/>
      <c r="AL772" s="23">
        <f t="shared" ref="AL772" si="2456">+AP772-AP771</f>
        <v>45585</v>
      </c>
      <c r="AM772" s="24"/>
      <c r="AN772" s="24"/>
      <c r="AO772" s="24">
        <v>178263</v>
      </c>
      <c r="AP772" s="24">
        <v>80355389</v>
      </c>
      <c r="AQ772" s="24">
        <v>20336656</v>
      </c>
      <c r="AR772" s="461">
        <f t="shared" ref="AR772" si="2457">+AL772/AP771</f>
        <v>5.676143849137024E-4</v>
      </c>
      <c r="AS772" s="25"/>
      <c r="AT772" s="25"/>
      <c r="AU772" s="24"/>
      <c r="AV772" s="298">
        <f t="shared" ref="AV772" si="2458">+AP772/H772</f>
        <v>1.1109165021613585</v>
      </c>
      <c r="AW772" s="298"/>
      <c r="AX772" s="24">
        <f t="shared" ref="AX772" si="2459">+AP772/BW772</f>
        <v>105315.05766710354</v>
      </c>
      <c r="AY772" s="308"/>
      <c r="BA772" s="65">
        <f t="shared" ref="BA772" si="2460">+BC772-BC771</f>
        <v>1170916</v>
      </c>
      <c r="BB772" s="66"/>
      <c r="BC772" s="66">
        <v>999047824</v>
      </c>
      <c r="BD772" s="66"/>
      <c r="BE772" s="66">
        <f t="shared" ref="BE772" si="2461">+D772</f>
        <v>45204</v>
      </c>
      <c r="BF772" s="66"/>
      <c r="BG772" s="144">
        <f t="shared" ref="BG772" si="2462">+BE772/BA772</f>
        <v>3.8605672823669675E-2</v>
      </c>
      <c r="BH772" s="66"/>
      <c r="BI772" s="170"/>
      <c r="BJ772" s="66"/>
      <c r="BK772" s="66"/>
      <c r="BL772" s="66"/>
      <c r="BM772" s="144"/>
      <c r="BN772" s="65">
        <f t="shared" ref="BN772" si="2463">+BC772/BW772</f>
        <v>1309368.0524246397</v>
      </c>
      <c r="BO772" s="66"/>
      <c r="BP772" s="66">
        <f t="shared" ref="BP772" si="2464">+BP771+BE772</f>
        <v>71425541</v>
      </c>
      <c r="BQ772" s="66"/>
      <c r="BR772" s="435">
        <f t="shared" ref="BR772" si="2465">+BP772/BC772</f>
        <v>7.1493615504836933E-2</v>
      </c>
      <c r="BS772" s="66"/>
      <c r="BT772" s="75"/>
      <c r="BU772" s="170"/>
      <c r="BV772" s="1"/>
      <c r="BW772" s="61">
        <f t="shared" si="1544"/>
        <v>763</v>
      </c>
      <c r="BY772" s="56"/>
      <c r="BZ772" s="1"/>
      <c r="CA772" s="61"/>
    </row>
    <row r="773" spans="2:79" x14ac:dyDescent="0.3">
      <c r="B773" s="158">
        <f t="shared" si="2425"/>
        <v>44673</v>
      </c>
      <c r="C773" s="61"/>
      <c r="D773" s="17">
        <v>54113</v>
      </c>
      <c r="E773" s="16"/>
      <c r="F773" s="16"/>
      <c r="G773" s="16"/>
      <c r="H773" s="16">
        <f t="shared" ref="H773" si="2466">+H772+D773</f>
        <v>72386632</v>
      </c>
      <c r="I773" s="16"/>
      <c r="J773" s="436">
        <f t="shared" ref="J773" si="2467">+D773/H772</f>
        <v>7.4811441310373831E-4</v>
      </c>
      <c r="K773" s="16"/>
      <c r="L773" s="16"/>
      <c r="M773" s="16"/>
      <c r="N773" s="16">
        <f t="shared" ref="N773" si="2468">SUM(D767:D773)</f>
        <v>224221</v>
      </c>
      <c r="O773" s="16">
        <f t="shared" ref="O773" si="2469">+H773/BW773</f>
        <v>94746.900523560209</v>
      </c>
      <c r="P773" s="41"/>
      <c r="Q773" s="17">
        <f t="shared" ref="Q773" si="2470">SUM(D767:D773)</f>
        <v>224221</v>
      </c>
      <c r="R773" s="16"/>
      <c r="S773" s="60">
        <f t="shared" ref="S773" si="2471">+(Q773-Q766)/Q766</f>
        <v>0.13818344255554596</v>
      </c>
      <c r="T773" s="16"/>
      <c r="U773" s="41"/>
      <c r="V773" s="10">
        <f t="shared" si="558"/>
        <v>665</v>
      </c>
      <c r="W773" s="34">
        <v>318</v>
      </c>
      <c r="X773" s="33">
        <v>4256</v>
      </c>
      <c r="Y773" s="33"/>
      <c r="Z773" s="33">
        <f t="shared" ref="Z773" si="2472">SUM(W768:W773)</f>
        <v>1477</v>
      </c>
      <c r="AA773" s="33">
        <f t="shared" ref="AA773" si="2473">+AA772+W773</f>
        <v>890280</v>
      </c>
      <c r="AB773" s="33"/>
      <c r="AC773" s="46">
        <f t="shared" ref="AC773" si="2474">+AA773/H773</f>
        <v>1.2298955972975784E-2</v>
      </c>
      <c r="AD773" s="33"/>
      <c r="AE773" s="33">
        <f t="shared" ref="AE773" si="2475">+AA773/BW773</f>
        <v>1165.2879581151833</v>
      </c>
      <c r="AF773" s="50"/>
      <c r="AG773" s="33"/>
      <c r="AH773" s="33"/>
      <c r="AI773" s="213"/>
      <c r="AJ773" s="50"/>
      <c r="AL773" s="23">
        <f t="shared" ref="AL773" si="2476">+AP773-AP772</f>
        <v>47012</v>
      </c>
      <c r="AM773" s="24"/>
      <c r="AN773" s="24"/>
      <c r="AO773" s="24">
        <v>178263</v>
      </c>
      <c r="AP773" s="24">
        <v>80402401</v>
      </c>
      <c r="AQ773" s="24">
        <v>20336656</v>
      </c>
      <c r="AR773" s="461">
        <f t="shared" ref="AR773" si="2477">+AL773/AP772</f>
        <v>5.8505099141514957E-4</v>
      </c>
      <c r="AS773" s="25"/>
      <c r="AT773" s="25"/>
      <c r="AU773" s="24"/>
      <c r="AV773" s="298">
        <f t="shared" ref="AV773" si="2478">+AP773/H773</f>
        <v>1.1107354877348072</v>
      </c>
      <c r="AW773" s="298"/>
      <c r="AX773" s="24">
        <f t="shared" ref="AX773" si="2479">+AP773/BW773</f>
        <v>105238.74476439791</v>
      </c>
      <c r="AY773" s="308"/>
      <c r="BA773" s="65">
        <f t="shared" ref="BA773" si="2480">+BC773-BC772</f>
        <v>1078411</v>
      </c>
      <c r="BB773" s="66"/>
      <c r="BC773" s="66">
        <v>1000126235</v>
      </c>
      <c r="BD773" s="66"/>
      <c r="BE773" s="66">
        <f t="shared" ref="BE773" si="2481">+D773</f>
        <v>54113</v>
      </c>
      <c r="BF773" s="66"/>
      <c r="BG773" s="144">
        <f t="shared" ref="BG773" si="2482">+BE773/BA773</f>
        <v>5.0178457007578746E-2</v>
      </c>
      <c r="BH773" s="66"/>
      <c r="BI773" s="170"/>
      <c r="BJ773" s="66"/>
      <c r="BK773" s="66"/>
      <c r="BL773" s="66"/>
      <c r="BM773" s="144"/>
      <c r="BN773" s="65">
        <f t="shared" ref="BN773" si="2483">+BC773/BW773</f>
        <v>1309065.7526178011</v>
      </c>
      <c r="BO773" s="66"/>
      <c r="BP773" s="66">
        <f t="shared" ref="BP773" si="2484">+BP772+BE773</f>
        <v>71479654</v>
      </c>
      <c r="BQ773" s="66"/>
      <c r="BR773" s="435">
        <f t="shared" ref="BR773" si="2485">+BP773/BC773</f>
        <v>7.1470631904781506E-2</v>
      </c>
      <c r="BS773" s="66"/>
      <c r="BT773" s="75"/>
      <c r="BU773" s="170"/>
      <c r="BV773" s="1"/>
      <c r="BW773" s="61">
        <f t="shared" si="1544"/>
        <v>764</v>
      </c>
      <c r="BY773" s="56"/>
      <c r="BZ773" s="1"/>
      <c r="CA773" s="61"/>
    </row>
    <row r="774" spans="2:79" x14ac:dyDescent="0.3">
      <c r="B774" s="158">
        <f t="shared" si="2425"/>
        <v>44674</v>
      </c>
      <c r="C774" s="61"/>
      <c r="D774" s="17">
        <v>17987</v>
      </c>
      <c r="E774" s="16"/>
      <c r="F774" s="16"/>
      <c r="G774" s="16"/>
      <c r="H774" s="16">
        <f t="shared" ref="H774" si="2486">+H773+D774</f>
        <v>72404619</v>
      </c>
      <c r="I774" s="16"/>
      <c r="J774" s="436">
        <f t="shared" ref="J774" si="2487">+D774/H773</f>
        <v>2.4848510702915421E-4</v>
      </c>
      <c r="K774" s="16"/>
      <c r="L774" s="16"/>
      <c r="M774" s="16"/>
      <c r="N774" s="16">
        <f t="shared" ref="N774" si="2488">SUM(D768:D774)</f>
        <v>229318</v>
      </c>
      <c r="O774" s="16">
        <f t="shared" ref="O774" si="2489">+H774/BW774</f>
        <v>94646.560784313726</v>
      </c>
      <c r="P774" s="41"/>
      <c r="Q774" s="17">
        <f t="shared" ref="Q774" si="2490">SUM(D768:D774)</f>
        <v>229318</v>
      </c>
      <c r="R774" s="16"/>
      <c r="S774" s="60">
        <f t="shared" ref="S774" si="2491">+(Q774-Q767)/Q767</f>
        <v>0.18012320074929111</v>
      </c>
      <c r="T774" s="16"/>
      <c r="U774" s="41"/>
      <c r="V774" s="10">
        <f t="shared" si="558"/>
        <v>666</v>
      </c>
      <c r="W774" s="34">
        <v>77</v>
      </c>
      <c r="X774" s="33">
        <v>4256</v>
      </c>
      <c r="Y774" s="33"/>
      <c r="Z774" s="33">
        <f t="shared" ref="Z774" si="2492">SUM(W769:W774)</f>
        <v>1544</v>
      </c>
      <c r="AA774" s="33">
        <f t="shared" ref="AA774" si="2493">+AA773+W774</f>
        <v>890357</v>
      </c>
      <c r="AB774" s="33"/>
      <c r="AC774" s="46">
        <f t="shared" ref="AC774" si="2494">+AA774/H774</f>
        <v>1.2296964092857115E-2</v>
      </c>
      <c r="AD774" s="33"/>
      <c r="AE774" s="33">
        <f t="shared" ref="AE774" si="2495">+AA774/BW774</f>
        <v>1163.8653594771242</v>
      </c>
      <c r="AF774" s="50"/>
      <c r="AG774" s="33"/>
      <c r="AH774" s="33"/>
      <c r="AI774" s="213"/>
      <c r="AJ774" s="50"/>
      <c r="AL774" s="23">
        <f t="shared" ref="AL774" si="2496">+AP774-AP773</f>
        <v>32524</v>
      </c>
      <c r="AM774" s="24"/>
      <c r="AN774" s="24"/>
      <c r="AO774" s="24">
        <v>178263</v>
      </c>
      <c r="AP774" s="24">
        <v>80434925</v>
      </c>
      <c r="AQ774" s="24">
        <v>20336656</v>
      </c>
      <c r="AR774" s="461">
        <f t="shared" ref="AR774" si="2497">+AL774/AP773</f>
        <v>4.0451528306971826E-4</v>
      </c>
      <c r="AS774" s="25"/>
      <c r="AT774" s="25"/>
      <c r="AU774" s="24"/>
      <c r="AV774" s="298">
        <f t="shared" ref="AV774" si="2498">+AP774/H774</f>
        <v>1.1109087529346713</v>
      </c>
      <c r="AW774" s="298"/>
      <c r="AX774" s="24">
        <f t="shared" ref="AX774" si="2499">+AP774/BW774</f>
        <v>105143.69281045752</v>
      </c>
      <c r="AY774" s="308"/>
      <c r="BA774" s="65">
        <f t="shared" ref="BA774" si="2500">+BC774-BC773</f>
        <v>149491</v>
      </c>
      <c r="BB774" s="66"/>
      <c r="BC774" s="66">
        <v>1000275726</v>
      </c>
      <c r="BD774" s="66"/>
      <c r="BE774" s="66">
        <f t="shared" ref="BE774" si="2501">+D774</f>
        <v>17987</v>
      </c>
      <c r="BF774" s="66"/>
      <c r="BG774" s="144">
        <f t="shared" ref="BG774" si="2502">+BE774/BA774</f>
        <v>0.12032162471319344</v>
      </c>
      <c r="BH774" s="66"/>
      <c r="BI774" s="170"/>
      <c r="BJ774" s="66"/>
      <c r="BK774" s="66"/>
      <c r="BL774" s="66"/>
      <c r="BM774" s="144"/>
      <c r="BN774" s="65">
        <f t="shared" ref="BN774" si="2503">+BC774/BW774</f>
        <v>1307549.968627451</v>
      </c>
      <c r="BO774" s="66"/>
      <c r="BP774" s="66">
        <f t="shared" ref="BP774" si="2504">+BP773+BE774</f>
        <v>71497641</v>
      </c>
      <c r="BQ774" s="66"/>
      <c r="BR774" s="435">
        <f t="shared" ref="BR774" si="2505">+BP774/BC774</f>
        <v>7.1477932675535108E-2</v>
      </c>
      <c r="BS774" s="66"/>
      <c r="BT774" s="75"/>
      <c r="BU774" s="170"/>
      <c r="BV774" s="1"/>
      <c r="BW774" s="61">
        <f t="shared" si="1544"/>
        <v>765</v>
      </c>
      <c r="BY774" s="56"/>
      <c r="BZ774" s="1"/>
      <c r="CA774" s="61"/>
    </row>
    <row r="775" spans="2:79" x14ac:dyDescent="0.3">
      <c r="B775" s="347">
        <f t="shared" si="2425"/>
        <v>44675</v>
      </c>
      <c r="C775" s="61"/>
      <c r="D775" s="17">
        <v>12969</v>
      </c>
      <c r="E775" s="16"/>
      <c r="F775" s="16"/>
      <c r="G775" s="16"/>
      <c r="H775" s="16">
        <f t="shared" ref="H775" si="2506">+H774+D775</f>
        <v>72417588</v>
      </c>
      <c r="I775" s="16"/>
      <c r="J775" s="436">
        <f t="shared" ref="J775" si="2507">+D775/H774</f>
        <v>1.7911840679667136E-4</v>
      </c>
      <c r="K775" s="16"/>
      <c r="L775" s="16"/>
      <c r="M775" s="16"/>
      <c r="N775" s="16">
        <f t="shared" ref="N775" si="2508">SUM(D769:D775)</f>
        <v>235052</v>
      </c>
      <c r="O775" s="16">
        <f t="shared" ref="O775" si="2509">+H775/BW775</f>
        <v>94539.932114882511</v>
      </c>
      <c r="P775" s="41"/>
      <c r="Q775" s="17">
        <f t="shared" ref="Q775" si="2510">SUM(D769:D775)</f>
        <v>235052</v>
      </c>
      <c r="R775" s="16"/>
      <c r="S775" s="60">
        <f t="shared" ref="S775" si="2511">+(Q775-Q768)/Q768</f>
        <v>0.22547378848309482</v>
      </c>
      <c r="T775" s="16"/>
      <c r="U775" s="41"/>
      <c r="V775" s="10">
        <f t="shared" si="558"/>
        <v>667</v>
      </c>
      <c r="W775" s="34">
        <v>19</v>
      </c>
      <c r="X775" s="33">
        <v>4256</v>
      </c>
      <c r="Y775" s="33"/>
      <c r="Z775" s="33">
        <f t="shared" ref="Z775" si="2512">SUM(W770:W775)</f>
        <v>1459</v>
      </c>
      <c r="AA775" s="33">
        <f t="shared" ref="AA775" si="2513">+AA774+W775</f>
        <v>890376</v>
      </c>
      <c r="AB775" s="33"/>
      <c r="AC775" s="46">
        <f t="shared" ref="AC775" si="2514">+AA775/H775</f>
        <v>1.2295024241901015E-2</v>
      </c>
      <c r="AD775" s="33"/>
      <c r="AE775" s="33">
        <f t="shared" ref="AE775" si="2515">+AA775/BW775</f>
        <v>1162.3707571801567</v>
      </c>
      <c r="AF775" s="50"/>
      <c r="AG775" s="33"/>
      <c r="AH775" s="33"/>
      <c r="AI775" s="213"/>
      <c r="AJ775" s="50"/>
      <c r="AL775" s="23">
        <f t="shared" ref="AL775" si="2516">+AP775-AP774</f>
        <v>30426</v>
      </c>
      <c r="AM775" s="24"/>
      <c r="AN775" s="24"/>
      <c r="AO775" s="24">
        <v>178263</v>
      </c>
      <c r="AP775" s="24">
        <v>80465351</v>
      </c>
      <c r="AQ775" s="24">
        <v>20336656</v>
      </c>
      <c r="AR775" s="461">
        <f t="shared" ref="AR775" si="2517">+AL775/AP774</f>
        <v>3.7826851955167487E-4</v>
      </c>
      <c r="AS775" s="25"/>
      <c r="AT775" s="25"/>
      <c r="AU775" s="24"/>
      <c r="AV775" s="298">
        <f t="shared" ref="AV775" si="2518">+AP775/H775</f>
        <v>1.1111299509174484</v>
      </c>
      <c r="AW775" s="298"/>
      <c r="AX775" s="24">
        <f t="shared" ref="AX775" si="2519">+AP775/BW775</f>
        <v>105046.1501305483</v>
      </c>
      <c r="AY775" s="308"/>
      <c r="BA775" s="65">
        <f t="shared" ref="BA775" si="2520">+BC775-BC774</f>
        <v>188011</v>
      </c>
      <c r="BB775" s="66"/>
      <c r="BC775" s="66">
        <v>1000463737</v>
      </c>
      <c r="BD775" s="66"/>
      <c r="BE775" s="66">
        <f t="shared" ref="BE775" si="2521">+D775</f>
        <v>12969</v>
      </c>
      <c r="BF775" s="66"/>
      <c r="BG775" s="144">
        <f t="shared" ref="BG775" si="2522">+BE775/BA775</f>
        <v>6.8980006488982032E-2</v>
      </c>
      <c r="BH775" s="66"/>
      <c r="BI775" s="170"/>
      <c r="BJ775" s="66"/>
      <c r="BK775" s="66"/>
      <c r="BL775" s="66"/>
      <c r="BM775" s="144"/>
      <c r="BN775" s="65">
        <f t="shared" ref="BN775" si="2523">+BC775/BW775</f>
        <v>1306088.4295039165</v>
      </c>
      <c r="BO775" s="66"/>
      <c r="BP775" s="66">
        <f t="shared" ref="BP775" si="2524">+BP774+BE775</f>
        <v>71510610</v>
      </c>
      <c r="BQ775" s="66"/>
      <c r="BR775" s="435">
        <f t="shared" ref="BR775" si="2525">+BP775/BC775</f>
        <v>7.1477463255622223E-2</v>
      </c>
      <c r="BS775" s="66"/>
      <c r="BT775" s="75"/>
      <c r="BU775" s="170"/>
      <c r="BV775" s="1"/>
      <c r="BW775" s="61">
        <f t="shared" si="1544"/>
        <v>766</v>
      </c>
      <c r="BY775" s="56"/>
      <c r="BZ775" s="1"/>
      <c r="CA775" s="61"/>
    </row>
    <row r="776" spans="2:79" x14ac:dyDescent="0.3">
      <c r="B776" s="158">
        <f t="shared" si="2425"/>
        <v>44676</v>
      </c>
      <c r="C776" s="61"/>
      <c r="D776" s="17">
        <v>34908</v>
      </c>
      <c r="E776" s="16"/>
      <c r="F776" s="16"/>
      <c r="G776" s="16"/>
      <c r="H776" s="16">
        <f t="shared" ref="H776" si="2526">+H775+D776</f>
        <v>72452496</v>
      </c>
      <c r="I776" s="16"/>
      <c r="J776" s="436">
        <f t="shared" ref="J776" si="2527">+D776/H775</f>
        <v>4.820375956183462E-4</v>
      </c>
      <c r="K776" s="16"/>
      <c r="L776" s="16"/>
      <c r="M776" s="16"/>
      <c r="N776" s="16">
        <f t="shared" ref="N776" si="2528">SUM(D770:D776)</f>
        <v>244939</v>
      </c>
      <c r="O776" s="16">
        <f t="shared" ref="O776" si="2529">+H776/BW776</f>
        <v>94462.185136896995</v>
      </c>
      <c r="P776" s="41"/>
      <c r="Q776" s="17">
        <f t="shared" ref="Q776" si="2530">SUM(D770:D776)</f>
        <v>244939</v>
      </c>
      <c r="R776" s="16"/>
      <c r="S776" s="60">
        <f t="shared" ref="S776" si="2531">+(Q776-Q769)/Q769</f>
        <v>0.26454720517096292</v>
      </c>
      <c r="T776" s="16"/>
      <c r="U776" s="41"/>
      <c r="V776" s="10">
        <f t="shared" si="558"/>
        <v>668</v>
      </c>
      <c r="W776" s="34">
        <v>141</v>
      </c>
      <c r="X776" s="33">
        <v>4256</v>
      </c>
      <c r="Y776" s="33"/>
      <c r="Z776" s="33">
        <f t="shared" ref="Z776" si="2532">SUM(W771:W776)</f>
        <v>1262</v>
      </c>
      <c r="AA776" s="33">
        <f t="shared" ref="AA776" si="2533">+AA775+W776</f>
        <v>890517</v>
      </c>
      <c r="AB776" s="33"/>
      <c r="AC776" s="46">
        <f t="shared" ref="AC776" si="2534">+AA776/H776</f>
        <v>1.2291046536202149E-2</v>
      </c>
      <c r="AD776" s="33"/>
      <c r="AE776" s="33">
        <f t="shared" ref="AE776" si="2535">+AA776/BW776</f>
        <v>1161.0391134289439</v>
      </c>
      <c r="AF776" s="50"/>
      <c r="AG776" s="33"/>
      <c r="AH776" s="33"/>
      <c r="AI776" s="213"/>
      <c r="AJ776" s="50"/>
      <c r="AL776" s="23">
        <f t="shared" ref="AL776" si="2536">+AP776-AP775</f>
        <v>41585</v>
      </c>
      <c r="AM776" s="24"/>
      <c r="AN776" s="24"/>
      <c r="AO776" s="24">
        <v>178263</v>
      </c>
      <c r="AP776" s="24">
        <v>80506936</v>
      </c>
      <c r="AQ776" s="24">
        <v>20336656</v>
      </c>
      <c r="AR776" s="461">
        <f t="shared" ref="AR776" si="2537">+AL776/AP775</f>
        <v>5.16806295917357E-4</v>
      </c>
      <c r="AS776" s="25"/>
      <c r="AT776" s="25"/>
      <c r="AU776" s="24"/>
      <c r="AV776" s="298">
        <f t="shared" ref="AV776" si="2538">+AP776/H776</f>
        <v>1.1111685648483387</v>
      </c>
      <c r="AW776" s="298"/>
      <c r="AX776" s="24">
        <f t="shared" ref="AX776" si="2539">+AP776/BW776</f>
        <v>104963.41069100391</v>
      </c>
      <c r="AY776" s="308"/>
      <c r="BA776" s="65">
        <f t="shared" ref="BA776" si="2540">+BC776-BC775</f>
        <v>681916</v>
      </c>
      <c r="BB776" s="66"/>
      <c r="BC776" s="66">
        <v>1001145653</v>
      </c>
      <c r="BD776" s="66"/>
      <c r="BE776" s="66">
        <f t="shared" ref="BE776" si="2541">+D776</f>
        <v>34908</v>
      </c>
      <c r="BF776" s="66"/>
      <c r="BG776" s="144">
        <f t="shared" ref="BG776" si="2542">+BE776/BA776</f>
        <v>5.1191055789862681E-2</v>
      </c>
      <c r="BH776" s="66"/>
      <c r="BI776" s="170"/>
      <c r="BJ776" s="66"/>
      <c r="BK776" s="66"/>
      <c r="BL776" s="66"/>
      <c r="BM776" s="144"/>
      <c r="BN776" s="65">
        <f t="shared" ref="BN776" si="2543">+BC776/BW776</f>
        <v>1305274.6453715775</v>
      </c>
      <c r="BO776" s="66"/>
      <c r="BP776" s="66">
        <f t="shared" ref="BP776" si="2544">+BP775+BE776</f>
        <v>71545518</v>
      </c>
      <c r="BQ776" s="66"/>
      <c r="BR776" s="435">
        <f t="shared" ref="BR776" si="2545">+BP776/BC776</f>
        <v>7.1463645460187603E-2</v>
      </c>
      <c r="BS776" s="66"/>
      <c r="BT776" s="75"/>
      <c r="BU776" s="170"/>
      <c r="BV776" s="1"/>
      <c r="BW776" s="61">
        <f t="shared" si="1544"/>
        <v>767</v>
      </c>
      <c r="BY776" s="56"/>
      <c r="BZ776" s="1"/>
      <c r="CA776" s="61"/>
    </row>
    <row r="777" spans="2:79" x14ac:dyDescent="0.3">
      <c r="B777" s="158">
        <f t="shared" si="2425"/>
        <v>44677</v>
      </c>
      <c r="C777" s="61"/>
      <c r="D777" s="17">
        <v>42541</v>
      </c>
      <c r="E777" s="16"/>
      <c r="F777" s="16"/>
      <c r="G777" s="16"/>
      <c r="H777" s="16">
        <f t="shared" ref="H777" si="2546">+H776+D777</f>
        <v>72495037</v>
      </c>
      <c r="I777" s="16"/>
      <c r="J777" s="436">
        <f t="shared" ref="J777" si="2547">+D777/H776</f>
        <v>5.8715713534562006E-4</v>
      </c>
      <c r="K777" s="16"/>
      <c r="L777" s="16"/>
      <c r="M777" s="16"/>
      <c r="N777" s="16">
        <f t="shared" ref="N777" si="2548">SUM(D771:D777)</f>
        <v>254287</v>
      </c>
      <c r="O777" s="16">
        <f t="shared" ref="O777" si="2549">+H777/BW777</f>
        <v>94394.579427083328</v>
      </c>
      <c r="P777" s="41"/>
      <c r="Q777" s="17">
        <f t="shared" ref="Q777" si="2550">SUM(D771:D777)</f>
        <v>254287</v>
      </c>
      <c r="R777" s="16"/>
      <c r="S777" s="60">
        <f t="shared" ref="S777" si="2551">+(Q777-Q770)/Q770</f>
        <v>0.28462813090438804</v>
      </c>
      <c r="T777" s="16"/>
      <c r="U777" s="41"/>
      <c r="V777" s="10">
        <f t="shared" si="558"/>
        <v>669</v>
      </c>
      <c r="W777" s="34">
        <v>290</v>
      </c>
      <c r="X777" s="33">
        <v>4256</v>
      </c>
      <c r="Y777" s="33"/>
      <c r="Z777" s="33">
        <f t="shared" ref="Z777" si="2552">SUM(W772:W777)</f>
        <v>1144</v>
      </c>
      <c r="AA777" s="33">
        <f t="shared" ref="AA777" si="2553">+AA776+W777</f>
        <v>890807</v>
      </c>
      <c r="AB777" s="33"/>
      <c r="AC777" s="46">
        <f t="shared" ref="AC777" si="2554">+AA777/H777</f>
        <v>1.228783426926177E-2</v>
      </c>
      <c r="AD777" s="33"/>
      <c r="AE777" s="33">
        <f t="shared" ref="AE777" si="2555">+AA777/BW777</f>
        <v>1159.9049479166667</v>
      </c>
      <c r="AF777" s="50"/>
      <c r="AG777" s="33"/>
      <c r="AH777" s="33"/>
      <c r="AI777" s="213"/>
      <c r="AJ777" s="50"/>
      <c r="AL777" s="23">
        <f t="shared" ref="AL777" si="2556">+AP777-AP776</f>
        <v>40466</v>
      </c>
      <c r="AM777" s="24"/>
      <c r="AN777" s="24"/>
      <c r="AO777" s="24">
        <v>178263</v>
      </c>
      <c r="AP777" s="24">
        <v>80547402</v>
      </c>
      <c r="AQ777" s="24">
        <v>20336656</v>
      </c>
      <c r="AR777" s="461">
        <f t="shared" ref="AR777" si="2557">+AL777/AP776</f>
        <v>5.0263992160874183E-4</v>
      </c>
      <c r="AS777" s="25"/>
      <c r="AT777" s="25"/>
      <c r="AU777" s="24"/>
      <c r="AV777" s="298">
        <f t="shared" ref="AV777" si="2558">+AP777/H777</f>
        <v>1.1110747070865004</v>
      </c>
      <c r="AW777" s="298"/>
      <c r="AX777" s="24">
        <f t="shared" ref="AX777" si="2559">+AP777/BW777</f>
        <v>104879.4296875</v>
      </c>
      <c r="AY777" s="308"/>
      <c r="BA777" s="65">
        <f t="shared" ref="BA777" si="2560">+BC777-BC776</f>
        <v>1159238</v>
      </c>
      <c r="BB777" s="66"/>
      <c r="BC777" s="66">
        <v>1002304891</v>
      </c>
      <c r="BD777" s="66"/>
      <c r="BE777" s="66">
        <f t="shared" ref="BE777" si="2561">+D777</f>
        <v>42541</v>
      </c>
      <c r="BF777" s="66"/>
      <c r="BG777" s="144">
        <f t="shared" ref="BG777" si="2562">+BE777/BA777</f>
        <v>3.6697382245923615E-2</v>
      </c>
      <c r="BH777" s="66"/>
      <c r="BI777" s="170"/>
      <c r="BJ777" s="66"/>
      <c r="BK777" s="66"/>
      <c r="BL777" s="66"/>
      <c r="BM777" s="144"/>
      <c r="BN777" s="65">
        <f t="shared" ref="BN777" si="2563">+BC777/BW777</f>
        <v>1305084.4934895833</v>
      </c>
      <c r="BO777" s="66"/>
      <c r="BP777" s="66">
        <f t="shared" ref="BP777" si="2564">+BP776+BE777</f>
        <v>71588059</v>
      </c>
      <c r="BQ777" s="66"/>
      <c r="BR777" s="435">
        <f t="shared" ref="BR777" si="2565">+BP777/BC777</f>
        <v>7.1423435765714527E-2</v>
      </c>
      <c r="BS777" s="66"/>
      <c r="BT777" s="75"/>
      <c r="BU777" s="170"/>
      <c r="BV777" s="1"/>
      <c r="BW777" s="61">
        <f t="shared" si="1544"/>
        <v>768</v>
      </c>
      <c r="BY777" s="56"/>
      <c r="BZ777" s="1"/>
      <c r="CA777" s="61"/>
    </row>
    <row r="778" spans="2:79" x14ac:dyDescent="0.3">
      <c r="B778" s="158">
        <f t="shared" si="2425"/>
        <v>44678</v>
      </c>
      <c r="C778" s="61"/>
      <c r="D778" s="17">
        <v>57738</v>
      </c>
      <c r="E778" s="16"/>
      <c r="F778" s="16"/>
      <c r="G778" s="16"/>
      <c r="H778" s="16">
        <f t="shared" ref="H778" si="2566">+H777+D778</f>
        <v>72552775</v>
      </c>
      <c r="I778" s="16"/>
      <c r="J778" s="436">
        <f t="shared" ref="J778" si="2567">+D778/H777</f>
        <v>7.9644072738386217E-4</v>
      </c>
      <c r="K778" s="16"/>
      <c r="L778" s="16"/>
      <c r="M778" s="16"/>
      <c r="N778" s="16">
        <f t="shared" ref="N778" si="2568">SUM(D772:D778)</f>
        <v>265460</v>
      </c>
      <c r="O778" s="16">
        <f t="shared" ref="O778" si="2569">+H778/BW778</f>
        <v>94346.91157347204</v>
      </c>
      <c r="P778" s="41"/>
      <c r="Q778" s="17">
        <f t="shared" ref="Q778" si="2570">SUM(D772:D778)</f>
        <v>265460</v>
      </c>
      <c r="R778" s="16"/>
      <c r="S778" s="60">
        <f t="shared" ref="S778" si="2571">+(Q778-Q771)/Q771</f>
        <v>0.28289267022032349</v>
      </c>
      <c r="T778" s="16"/>
      <c r="U778" s="41"/>
      <c r="V778" s="10">
        <f t="shared" si="558"/>
        <v>670</v>
      </c>
      <c r="W778" s="34">
        <v>311</v>
      </c>
      <c r="X778" s="33">
        <v>4256</v>
      </c>
      <c r="Y778" s="33"/>
      <c r="Z778" s="33">
        <f t="shared" ref="Z778" si="2572">SUM(W773:W778)</f>
        <v>1156</v>
      </c>
      <c r="AA778" s="33">
        <f t="shared" ref="AA778" si="2573">+AA777+W778</f>
        <v>891118</v>
      </c>
      <c r="AB778" s="33"/>
      <c r="AC778" s="46">
        <f t="shared" ref="AC778" si="2574">+AA778/H778</f>
        <v>1.2282342060658603E-2</v>
      </c>
      <c r="AD778" s="33"/>
      <c r="AE778" s="33">
        <f t="shared" ref="AE778" si="2575">+AA778/BW778</f>
        <v>1158.8010403120936</v>
      </c>
      <c r="AF778" s="50"/>
      <c r="AG778" s="33"/>
      <c r="AH778" s="33"/>
      <c r="AI778" s="213"/>
      <c r="AJ778" s="50"/>
      <c r="AL778" s="23">
        <f t="shared" ref="AL778" si="2576">+AP778-AP777</f>
        <v>38517</v>
      </c>
      <c r="AM778" s="24"/>
      <c r="AN778" s="24"/>
      <c r="AO778" s="24">
        <v>178263</v>
      </c>
      <c r="AP778" s="24">
        <v>80585919</v>
      </c>
      <c r="AQ778" s="24">
        <v>20336656</v>
      </c>
      <c r="AR778" s="461">
        <f t="shared" ref="AR778" si="2577">+AL778/AP777</f>
        <v>4.7819046975593329E-4</v>
      </c>
      <c r="AS778" s="25"/>
      <c r="AT778" s="25"/>
      <c r="AU778" s="24"/>
      <c r="AV778" s="298">
        <f t="shared" ref="AV778" si="2578">+AP778/H778</f>
        <v>1.1107213886719012</v>
      </c>
      <c r="AW778" s="298"/>
      <c r="AX778" s="24">
        <f t="shared" ref="AX778" si="2579">+AP778/BW778</f>
        <v>104793.13263979193</v>
      </c>
      <c r="AY778" s="308"/>
      <c r="BA778" s="65">
        <f t="shared" ref="BA778" si="2580">+BC778-BC777</f>
        <v>1018068</v>
      </c>
      <c r="BB778" s="66"/>
      <c r="BC778" s="66">
        <v>1003322959</v>
      </c>
      <c r="BD778" s="66"/>
      <c r="BE778" s="66">
        <f t="shared" ref="BE778" si="2581">+D778</f>
        <v>57738</v>
      </c>
      <c r="BF778" s="66"/>
      <c r="BG778" s="144">
        <f t="shared" ref="BG778" si="2582">+BE778/BA778</f>
        <v>5.6713304022913989E-2</v>
      </c>
      <c r="BH778" s="66"/>
      <c r="BI778" s="170"/>
      <c r="BJ778" s="66"/>
      <c r="BK778" s="66"/>
      <c r="BL778" s="66"/>
      <c r="BM778" s="144"/>
      <c r="BN778" s="65">
        <f t="shared" ref="BN778" si="2583">+BC778/BW778</f>
        <v>1304711.2600780234</v>
      </c>
      <c r="BO778" s="66"/>
      <c r="BP778" s="66">
        <f t="shared" ref="BP778" si="2584">+BP777+BE778</f>
        <v>71645797</v>
      </c>
      <c r="BQ778" s="66"/>
      <c r="BR778" s="435">
        <f t="shared" ref="BR778" si="2585">+BP778/BC778</f>
        <v>7.1408509450843732E-2</v>
      </c>
      <c r="BS778" s="66"/>
      <c r="BT778" s="75"/>
      <c r="BU778" s="170"/>
      <c r="BV778" s="1"/>
      <c r="BW778" s="61">
        <f t="shared" si="1544"/>
        <v>769</v>
      </c>
      <c r="BY778" s="56"/>
      <c r="BZ778" s="1"/>
      <c r="CA778" s="61"/>
    </row>
    <row r="779" spans="2:79" x14ac:dyDescent="0.3">
      <c r="B779" s="158">
        <f t="shared" si="2425"/>
        <v>44679</v>
      </c>
      <c r="C779" s="61"/>
      <c r="D779" s="17">
        <v>65444</v>
      </c>
      <c r="E779" s="16"/>
      <c r="F779" s="16"/>
      <c r="G779" s="16"/>
      <c r="H779" s="16">
        <f t="shared" ref="H779" si="2586">+H778+D779</f>
        <v>72618219</v>
      </c>
      <c r="I779" s="16"/>
      <c r="J779" s="436">
        <f t="shared" ref="J779" si="2587">+D779/H778</f>
        <v>9.0201925426008857E-4</v>
      </c>
      <c r="K779" s="16"/>
      <c r="L779" s="16"/>
      <c r="M779" s="16"/>
      <c r="N779" s="16">
        <f t="shared" ref="N779" si="2588">SUM(D773:D779)</f>
        <v>285700</v>
      </c>
      <c r="O779" s="16">
        <f t="shared" ref="O779" si="2589">+H779/BW779</f>
        <v>94309.375324675319</v>
      </c>
      <c r="P779" s="41"/>
      <c r="Q779" s="17">
        <f t="shared" ref="Q779" si="2590">SUM(D773:D779)</f>
        <v>285700</v>
      </c>
      <c r="R779" s="16"/>
      <c r="S779" s="60">
        <f t="shared" ref="S779" si="2591">+(Q779-Q772)/Q772</f>
        <v>0.36248098392396433</v>
      </c>
      <c r="T779" s="16"/>
      <c r="U779" s="41"/>
      <c r="V779" s="10">
        <f t="shared" si="558"/>
        <v>671</v>
      </c>
      <c r="W779" s="34">
        <v>325</v>
      </c>
      <c r="X779" s="33">
        <v>4256</v>
      </c>
      <c r="Y779" s="33"/>
      <c r="Z779" s="33">
        <f t="shared" ref="Z779" si="2592">SUM(W774:W779)</f>
        <v>1163</v>
      </c>
      <c r="AA779" s="33">
        <f t="shared" ref="AA779" si="2593">+AA778+W779</f>
        <v>891443</v>
      </c>
      <c r="AB779" s="33"/>
      <c r="AC779" s="46">
        <f t="shared" ref="AC779" si="2594">+AA779/H779</f>
        <v>1.2275748596918908E-2</v>
      </c>
      <c r="AD779" s="33"/>
      <c r="AE779" s="33">
        <f t="shared" ref="AE779" si="2595">+AA779/BW779</f>
        <v>1157.7181818181818</v>
      </c>
      <c r="AF779" s="50"/>
      <c r="AG779" s="33"/>
      <c r="AH779" s="33"/>
      <c r="AI779" s="213"/>
      <c r="AJ779" s="50"/>
      <c r="AL779" s="23">
        <f t="shared" ref="AL779" si="2596">+AP779-AP778</f>
        <v>37484</v>
      </c>
      <c r="AM779" s="24"/>
      <c r="AN779" s="24"/>
      <c r="AO779" s="24">
        <v>178263</v>
      </c>
      <c r="AP779" s="24">
        <v>80623403</v>
      </c>
      <c r="AQ779" s="24">
        <v>20336656</v>
      </c>
      <c r="AR779" s="461">
        <f t="shared" ref="AR779" si="2597">+AL779/AP778</f>
        <v>4.6514329631210138E-4</v>
      </c>
      <c r="AS779" s="25"/>
      <c r="AT779" s="25"/>
      <c r="AU779" s="24"/>
      <c r="AV779" s="298">
        <f t="shared" ref="AV779" si="2598">+AP779/H779</f>
        <v>1.1102365785093131</v>
      </c>
      <c r="AW779" s="298"/>
      <c r="AX779" s="24">
        <f t="shared" ref="AX779" si="2599">+AP779/BW779</f>
        <v>104705.71818181819</v>
      </c>
      <c r="AY779" s="308"/>
      <c r="BA779" s="65">
        <f t="shared" ref="BA779" si="2600">+BC779-BC778</f>
        <v>1125987</v>
      </c>
      <c r="BB779" s="66"/>
      <c r="BC779" s="66">
        <v>1004448946</v>
      </c>
      <c r="BD779" s="66"/>
      <c r="BE779" s="66">
        <f t="shared" ref="BE779" si="2601">+D779</f>
        <v>65444</v>
      </c>
      <c r="BF779" s="66"/>
      <c r="BG779" s="144">
        <f t="shared" ref="BG779" si="2602">+BE779/BA779</f>
        <v>5.8121452556734669E-2</v>
      </c>
      <c r="BH779" s="66"/>
      <c r="BI779" s="170"/>
      <c r="BJ779" s="66"/>
      <c r="BK779" s="66"/>
      <c r="BL779" s="66"/>
      <c r="BM779" s="144"/>
      <c r="BN779" s="65">
        <f t="shared" ref="BN779" si="2603">+BC779/BW779</f>
        <v>1304479.1506493506</v>
      </c>
      <c r="BO779" s="66"/>
      <c r="BP779" s="66">
        <f t="shared" ref="BP779" si="2604">+BP778+BE779</f>
        <v>71711241</v>
      </c>
      <c r="BQ779" s="66"/>
      <c r="BR779" s="435">
        <f t="shared" ref="BR779" si="2605">+BP779/BC779</f>
        <v>7.1393614663616767E-2</v>
      </c>
      <c r="BS779" s="66"/>
      <c r="BT779" s="75"/>
      <c r="BU779" s="170"/>
      <c r="BV779" s="1"/>
      <c r="BW779" s="61">
        <f t="shared" si="1544"/>
        <v>770</v>
      </c>
      <c r="BY779" s="56"/>
      <c r="BZ779" s="1"/>
      <c r="CA779" s="61"/>
    </row>
    <row r="780" spans="2:79" x14ac:dyDescent="0.3">
      <c r="B780" s="158">
        <f t="shared" si="2425"/>
        <v>44680</v>
      </c>
      <c r="C780" s="61"/>
      <c r="D780" s="17">
        <v>62993</v>
      </c>
      <c r="E780" s="16"/>
      <c r="F780" s="16"/>
      <c r="G780" s="16"/>
      <c r="H780" s="16">
        <f t="shared" ref="H780" si="2606">+H779+D780</f>
        <v>72681212</v>
      </c>
      <c r="I780" s="16"/>
      <c r="J780" s="436">
        <f t="shared" ref="J780" si="2607">+D780/H779</f>
        <v>8.6745448824626225E-4</v>
      </c>
      <c r="K780" s="16"/>
      <c r="L780" s="16"/>
      <c r="M780" s="16"/>
      <c r="N780" s="16">
        <f t="shared" ref="N780" si="2608">SUM(D774:D780)</f>
        <v>294580</v>
      </c>
      <c r="O780" s="16">
        <f t="shared" ref="O780" si="2609">+H780/BW780</f>
        <v>94268.75745784695</v>
      </c>
      <c r="P780" s="41"/>
      <c r="Q780" s="17">
        <f t="shared" ref="Q780" si="2610">SUM(D774:D780)</f>
        <v>294580</v>
      </c>
      <c r="R780" s="16"/>
      <c r="S780" s="60">
        <f t="shared" ref="S780" si="2611">+(Q780-Q773)/Q773</f>
        <v>0.31379308806936013</v>
      </c>
      <c r="T780" s="16"/>
      <c r="U780" s="41"/>
      <c r="V780" s="10">
        <f t="shared" si="558"/>
        <v>672</v>
      </c>
      <c r="W780" s="34">
        <v>263</v>
      </c>
      <c r="X780" s="33">
        <v>4256</v>
      </c>
      <c r="Y780" s="33"/>
      <c r="Z780" s="33">
        <f t="shared" ref="Z780" si="2612">SUM(W775:W780)</f>
        <v>1349</v>
      </c>
      <c r="AA780" s="33">
        <f t="shared" ref="AA780" si="2613">+AA779+W780</f>
        <v>891706</v>
      </c>
      <c r="AB780" s="33"/>
      <c r="AC780" s="46">
        <f t="shared" ref="AC780" si="2614">+AA780/H780</f>
        <v>1.2268727714667169E-2</v>
      </c>
      <c r="AD780" s="33"/>
      <c r="AE780" s="33">
        <f t="shared" ref="AE780" si="2615">+AA780/BW780</f>
        <v>1156.5577172503242</v>
      </c>
      <c r="AF780" s="50"/>
      <c r="AG780" s="33"/>
      <c r="AH780" s="33"/>
      <c r="AI780" s="213"/>
      <c r="AJ780" s="50"/>
      <c r="AL780" s="23">
        <f t="shared" ref="AL780" si="2616">+AP780-AP779</f>
        <v>32282</v>
      </c>
      <c r="AM780" s="24"/>
      <c r="AN780" s="24"/>
      <c r="AO780" s="24">
        <v>178263</v>
      </c>
      <c r="AP780" s="24">
        <v>80655685</v>
      </c>
      <c r="AQ780" s="24">
        <v>20336656</v>
      </c>
      <c r="AR780" s="461">
        <f t="shared" ref="AR780" si="2617">+AL780/AP779</f>
        <v>4.0040483034436042E-4</v>
      </c>
      <c r="AS780" s="25"/>
      <c r="AT780" s="25"/>
      <c r="AU780" s="24"/>
      <c r="AV780" s="298">
        <f t="shared" ref="AV780" si="2618">+AP780/H780</f>
        <v>1.1097184923113279</v>
      </c>
      <c r="AW780" s="298"/>
      <c r="AX780" s="24">
        <f t="shared" ref="AX780" si="2619">+AP780/BW780</f>
        <v>104611.78339818418</v>
      </c>
      <c r="AY780" s="308"/>
      <c r="BA780" s="65">
        <f t="shared" ref="BA780" si="2620">+BC780-BC779</f>
        <v>802298</v>
      </c>
      <c r="BB780" s="66"/>
      <c r="BC780" s="66">
        <v>1005251244</v>
      </c>
      <c r="BD780" s="66"/>
      <c r="BE780" s="66">
        <f t="shared" ref="BE780" si="2621">+D780</f>
        <v>62993</v>
      </c>
      <c r="BF780" s="66"/>
      <c r="BG780" s="144">
        <f t="shared" ref="BG780" si="2622">+BE780/BA780</f>
        <v>7.851571361264767E-2</v>
      </c>
      <c r="BH780" s="66"/>
      <c r="BI780" s="170"/>
      <c r="BJ780" s="66"/>
      <c r="BK780" s="66"/>
      <c r="BL780" s="66"/>
      <c r="BM780" s="144"/>
      <c r="BN780" s="65">
        <f t="shared" ref="BN780" si="2623">+BC780/BW780</f>
        <v>1303827.813229572</v>
      </c>
      <c r="BO780" s="66"/>
      <c r="BP780" s="66">
        <f t="shared" ref="BP780" si="2624">+BP779+BE780</f>
        <v>71774234</v>
      </c>
      <c r="BQ780" s="66"/>
      <c r="BR780" s="435">
        <f t="shared" ref="BR780" si="2625">+BP780/BC780</f>
        <v>7.139929886025588E-2</v>
      </c>
      <c r="BS780" s="66"/>
      <c r="BT780" s="75"/>
      <c r="BU780" s="170"/>
      <c r="BV780" s="1"/>
      <c r="BW780" s="61">
        <f t="shared" si="1544"/>
        <v>771</v>
      </c>
      <c r="BY780" s="56"/>
      <c r="BZ780" s="1"/>
      <c r="CA780" s="61"/>
    </row>
    <row r="781" spans="2:79" x14ac:dyDescent="0.3">
      <c r="B781" s="158">
        <f t="shared" si="2425"/>
        <v>44681</v>
      </c>
      <c r="C781" s="61"/>
      <c r="D781" s="17">
        <v>24751</v>
      </c>
      <c r="E781" s="16"/>
      <c r="F781" s="16"/>
      <c r="G781" s="16"/>
      <c r="H781" s="16">
        <f t="shared" ref="H781" si="2626">+H780+D781</f>
        <v>72705963</v>
      </c>
      <c r="I781" s="16"/>
      <c r="J781" s="436">
        <f t="shared" ref="J781" si="2627">+D781/H780</f>
        <v>3.4054192712141342E-4</v>
      </c>
      <c r="K781" s="16"/>
      <c r="L781" s="16"/>
      <c r="M781" s="16"/>
      <c r="N781" s="16">
        <f t="shared" ref="N781" si="2628">SUM(D775:D781)</f>
        <v>301344</v>
      </c>
      <c r="O781" s="16">
        <f t="shared" ref="O781" si="2629">+H781/BW781</f>
        <v>94178.708549222792</v>
      </c>
      <c r="P781" s="41"/>
      <c r="Q781" s="17">
        <f t="shared" ref="Q781" si="2630">SUM(D775:D781)</f>
        <v>301344</v>
      </c>
      <c r="R781" s="16"/>
      <c r="S781" s="60">
        <f t="shared" ref="S781" si="2631">+(Q781-Q774)/Q774</f>
        <v>0.31408786052555837</v>
      </c>
      <c r="T781" s="16"/>
      <c r="U781" s="41"/>
      <c r="V781" s="10">
        <f t="shared" si="558"/>
        <v>673</v>
      </c>
      <c r="W781" s="34">
        <v>115</v>
      </c>
      <c r="X781" s="33">
        <v>4256</v>
      </c>
      <c r="Y781" s="33"/>
      <c r="Z781" s="33">
        <f t="shared" ref="Z781" si="2632">SUM(W776:W781)</f>
        <v>1445</v>
      </c>
      <c r="AA781" s="33">
        <f t="shared" ref="AA781" si="2633">+AA780+W781</f>
        <v>891821</v>
      </c>
      <c r="AB781" s="33"/>
      <c r="AC781" s="46">
        <f t="shared" ref="AC781" si="2634">+AA781/H781</f>
        <v>1.2266132834249098E-2</v>
      </c>
      <c r="AD781" s="33"/>
      <c r="AE781" s="33">
        <f t="shared" ref="AE781" si="2635">+AA781/BW781</f>
        <v>1155.208549222798</v>
      </c>
      <c r="AF781" s="50"/>
      <c r="AG781" s="33"/>
      <c r="AH781" s="33"/>
      <c r="AI781" s="213"/>
      <c r="AJ781" s="50"/>
      <c r="AL781" s="23">
        <f t="shared" ref="AL781" si="2636">+AP781-AP780</f>
        <v>29214</v>
      </c>
      <c r="AM781" s="24"/>
      <c r="AN781" s="24"/>
      <c r="AO781" s="24">
        <v>178263</v>
      </c>
      <c r="AP781" s="24">
        <v>80684899</v>
      </c>
      <c r="AQ781" s="24">
        <v>20336656</v>
      </c>
      <c r="AR781" s="461">
        <f t="shared" ref="AR781" si="2637">+AL781/AP780</f>
        <v>3.6220633424661883E-4</v>
      </c>
      <c r="AS781" s="25"/>
      <c r="AT781" s="25"/>
      <c r="AU781" s="24"/>
      <c r="AV781" s="298">
        <f t="shared" ref="AV781" si="2638">+AP781/H781</f>
        <v>1.1097425255202245</v>
      </c>
      <c r="AW781" s="298"/>
      <c r="AX781" s="24">
        <f t="shared" ref="AX781" si="2639">+AP781/BW781</f>
        <v>104514.11787564767</v>
      </c>
      <c r="AY781" s="308"/>
      <c r="BA781" s="65">
        <f t="shared" ref="BA781" si="2640">+BC781-BC780</f>
        <v>186904</v>
      </c>
      <c r="BB781" s="66"/>
      <c r="BC781" s="66">
        <v>1005438148</v>
      </c>
      <c r="BD781" s="66"/>
      <c r="BE781" s="66">
        <f t="shared" ref="BE781" si="2641">+D781</f>
        <v>24751</v>
      </c>
      <c r="BF781" s="66"/>
      <c r="BG781" s="144">
        <f t="shared" ref="BG781" si="2642">+BE781/BA781</f>
        <v>0.13242627231091897</v>
      </c>
      <c r="BH781" s="66"/>
      <c r="BI781" s="170"/>
      <c r="BJ781" s="66"/>
      <c r="BK781" s="66"/>
      <c r="BL781" s="66"/>
      <c r="BM781" s="144"/>
      <c r="BN781" s="65">
        <f t="shared" ref="BN781" si="2643">+BC781/BW781</f>
        <v>1302381.0207253885</v>
      </c>
      <c r="BO781" s="66"/>
      <c r="BP781" s="66">
        <f t="shared" ref="BP781" si="2644">+BP780+BE781</f>
        <v>71798985</v>
      </c>
      <c r="BQ781" s="66"/>
      <c r="BR781" s="435">
        <f t="shared" ref="BR781" si="2645">+BP781/BC781</f>
        <v>7.1410643352672942E-2</v>
      </c>
      <c r="BS781" s="66"/>
      <c r="BT781" s="75"/>
      <c r="BU781" s="170"/>
      <c r="BV781" s="1"/>
      <c r="BW781" s="61">
        <f t="shared" si="1544"/>
        <v>772</v>
      </c>
      <c r="BY781" s="56"/>
      <c r="BZ781" s="1"/>
      <c r="CA781" s="61"/>
    </row>
    <row r="782" spans="2:79" x14ac:dyDescent="0.3">
      <c r="B782" s="347">
        <f t="shared" si="2425"/>
        <v>44682</v>
      </c>
      <c r="C782" s="61"/>
      <c r="D782" s="17">
        <v>16158</v>
      </c>
      <c r="E782" s="16"/>
      <c r="F782" s="16"/>
      <c r="G782" s="16"/>
      <c r="H782" s="16">
        <f t="shared" ref="H782" si="2646">+H781+D782</f>
        <v>72722121</v>
      </c>
      <c r="I782" s="16"/>
      <c r="J782" s="436">
        <f t="shared" ref="J782" si="2647">+D782/H781</f>
        <v>2.2223761756652615E-4</v>
      </c>
      <c r="K782" s="16"/>
      <c r="L782" s="16"/>
      <c r="M782" s="16"/>
      <c r="N782" s="16">
        <f t="shared" ref="N782" si="2648">SUM(D776:D782)</f>
        <v>304533</v>
      </c>
      <c r="O782" s="16">
        <f t="shared" ref="O782" si="2649">+H782/BW782</f>
        <v>94077.776196636478</v>
      </c>
      <c r="P782" s="41"/>
      <c r="Q782" s="17">
        <f t="shared" ref="Q782" si="2650">SUM(D776:D782)</f>
        <v>304533</v>
      </c>
      <c r="R782" s="16"/>
      <c r="S782" s="60">
        <f t="shared" ref="S782" si="2651">+(Q782-Q775)/Q775</f>
        <v>0.29559842077497744</v>
      </c>
      <c r="T782" s="16"/>
      <c r="U782" s="41"/>
      <c r="V782" s="10">
        <f t="shared" si="558"/>
        <v>674</v>
      </c>
      <c r="W782" s="34">
        <v>21</v>
      </c>
      <c r="X782" s="33">
        <v>4256</v>
      </c>
      <c r="Y782" s="33"/>
      <c r="Z782" s="33">
        <f t="shared" ref="Z782" si="2652">SUM(W777:W782)</f>
        <v>1325</v>
      </c>
      <c r="AA782" s="33">
        <f t="shared" ref="AA782" si="2653">+AA781+W782</f>
        <v>891842</v>
      </c>
      <c r="AB782" s="33"/>
      <c r="AC782" s="46">
        <f t="shared" ref="AC782" si="2654">+AA782/H782</f>
        <v>1.2263696214250957E-2</v>
      </c>
      <c r="AD782" s="33"/>
      <c r="AE782" s="33">
        <f t="shared" ref="AE782" si="2655">+AA782/BW782</f>
        <v>1153.7412677878397</v>
      </c>
      <c r="AF782" s="50"/>
      <c r="AG782" s="33"/>
      <c r="AH782" s="33"/>
      <c r="AI782" s="213"/>
      <c r="AJ782" s="50"/>
      <c r="AL782" s="23">
        <f t="shared" ref="AL782" si="2656">+AP782-AP781</f>
        <v>35030</v>
      </c>
      <c r="AM782" s="24"/>
      <c r="AN782" s="24"/>
      <c r="AO782" s="24">
        <v>178263</v>
      </c>
      <c r="AP782" s="24">
        <v>80719929</v>
      </c>
      <c r="AQ782" s="24">
        <v>20336656</v>
      </c>
      <c r="AR782" s="461">
        <f t="shared" ref="AR782" si="2657">+AL782/AP781</f>
        <v>4.3415806965315778E-4</v>
      </c>
      <c r="AS782" s="25"/>
      <c r="AT782" s="25"/>
      <c r="AU782" s="24"/>
      <c r="AV782" s="298">
        <f t="shared" ref="AV782" si="2658">+AP782/H782</f>
        <v>1.1099776504043384</v>
      </c>
      <c r="AW782" s="298"/>
      <c r="AX782" s="24">
        <f t="shared" ref="AX782" si="2659">+AP782/BW782</f>
        <v>104424.22897800776</v>
      </c>
      <c r="AY782" s="308"/>
      <c r="BA782" s="65">
        <f t="shared" ref="BA782" si="2660">+BC782-BC781</f>
        <v>155481</v>
      </c>
      <c r="BB782" s="66"/>
      <c r="BC782" s="66">
        <v>1005593629</v>
      </c>
      <c r="BD782" s="66"/>
      <c r="BE782" s="66">
        <f t="shared" ref="BE782" si="2661">+D782</f>
        <v>16158</v>
      </c>
      <c r="BF782" s="66"/>
      <c r="BG782" s="144">
        <f t="shared" ref="BG782" si="2662">+BE782/BA782</f>
        <v>0.10392266579196172</v>
      </c>
      <c r="BH782" s="66"/>
      <c r="BI782" s="170"/>
      <c r="BJ782" s="66"/>
      <c r="BK782" s="66"/>
      <c r="BL782" s="66"/>
      <c r="BM782" s="144"/>
      <c r="BN782" s="65">
        <f t="shared" ref="BN782" si="2663">+BC782/BW782</f>
        <v>1300897.320827943</v>
      </c>
      <c r="BO782" s="66"/>
      <c r="BP782" s="66">
        <f t="shared" ref="BP782" si="2664">+BP781+BE782</f>
        <v>71815143</v>
      </c>
      <c r="BQ782" s="66"/>
      <c r="BR782" s="435">
        <f t="shared" ref="BR782" si="2665">+BP782/BC782</f>
        <v>7.1415670235913956E-2</v>
      </c>
      <c r="BS782" s="66"/>
      <c r="BT782" s="75"/>
      <c r="BU782" s="170"/>
      <c r="BV782" s="1"/>
      <c r="BW782" s="61">
        <f t="shared" si="1544"/>
        <v>773</v>
      </c>
      <c r="BY782" s="56"/>
      <c r="BZ782" s="1"/>
      <c r="CA782" s="61"/>
    </row>
    <row r="783" spans="2:79" x14ac:dyDescent="0.3">
      <c r="B783" s="158">
        <f t="shared" si="2425"/>
        <v>44683</v>
      </c>
      <c r="C783" s="61"/>
      <c r="D783" s="17">
        <v>40784</v>
      </c>
      <c r="E783" s="16"/>
      <c r="F783" s="16"/>
      <c r="G783" s="16"/>
      <c r="H783" s="16">
        <f t="shared" ref="H783" si="2666">+H782+D783</f>
        <v>72762905</v>
      </c>
      <c r="I783" s="16"/>
      <c r="J783" s="436">
        <f t="shared" ref="J783" si="2667">+D783/H782</f>
        <v>5.608197263663418E-4</v>
      </c>
      <c r="K783" s="16"/>
      <c r="L783" s="16"/>
      <c r="M783" s="16"/>
      <c r="N783" s="16">
        <f t="shared" ref="N783" si="2668">SUM(D777:D783)</f>
        <v>310409</v>
      </c>
      <c r="O783" s="16">
        <f t="shared" ref="O783" si="2669">+H783/BW783</f>
        <v>94008.921188630484</v>
      </c>
      <c r="P783" s="41"/>
      <c r="Q783" s="17">
        <f t="shared" ref="Q783" si="2670">SUM(D777:D783)</f>
        <v>310409</v>
      </c>
      <c r="R783" s="16"/>
      <c r="S783" s="60">
        <f t="shared" ref="S783" si="2671">+(Q783-Q776)/Q776</f>
        <v>0.26729103980991187</v>
      </c>
      <c r="T783" s="16"/>
      <c r="U783" s="41"/>
      <c r="V783" s="10">
        <f t="shared" si="558"/>
        <v>675</v>
      </c>
      <c r="W783" s="34">
        <v>122</v>
      </c>
      <c r="X783" s="33">
        <v>4256</v>
      </c>
      <c r="Y783" s="33"/>
      <c r="Z783" s="33">
        <f t="shared" ref="Z783" si="2672">SUM(W778:W783)</f>
        <v>1157</v>
      </c>
      <c r="AA783" s="33">
        <f t="shared" ref="AA783" si="2673">+AA782+W783</f>
        <v>891964</v>
      </c>
      <c r="AB783" s="33"/>
      <c r="AC783" s="46">
        <f t="shared" ref="AC783" si="2674">+AA783/H783</f>
        <v>1.2258499025018311E-2</v>
      </c>
      <c r="AD783" s="33"/>
      <c r="AE783" s="33">
        <f t="shared" ref="AE783" si="2675">+AA783/BW783</f>
        <v>1152.40826873385</v>
      </c>
      <c r="AF783" s="50"/>
      <c r="AG783" s="33"/>
      <c r="AH783" s="33"/>
      <c r="AI783" s="213"/>
      <c r="AJ783" s="50"/>
      <c r="AL783" s="23">
        <f t="shared" ref="AL783" si="2676">+AP783-AP782</f>
        <v>37495</v>
      </c>
      <c r="AM783" s="24"/>
      <c r="AN783" s="24"/>
      <c r="AO783" s="24">
        <v>178263</v>
      </c>
      <c r="AP783" s="24">
        <v>80757424</v>
      </c>
      <c r="AQ783" s="24">
        <v>20336656</v>
      </c>
      <c r="AR783" s="461">
        <f t="shared" ref="AR783" si="2677">+AL783/AP782</f>
        <v>4.6450734613505423E-4</v>
      </c>
      <c r="AS783" s="25"/>
      <c r="AT783" s="25"/>
      <c r="AU783" s="24"/>
      <c r="AV783" s="298">
        <f t="shared" ref="AV783" si="2678">+AP783/H783</f>
        <v>1.1098708057354225</v>
      </c>
      <c r="AW783" s="298"/>
      <c r="AX783" s="24">
        <f t="shared" ref="AX783" si="2679">+AP783/BW783</f>
        <v>104337.75710594315</v>
      </c>
      <c r="AY783" s="308"/>
      <c r="BA783" s="65">
        <f t="shared" ref="BA783" si="2680">+BC783-BC782</f>
        <v>675963</v>
      </c>
      <c r="BB783" s="66"/>
      <c r="BC783" s="66">
        <v>1006269592</v>
      </c>
      <c r="BD783" s="66"/>
      <c r="BE783" s="66">
        <f t="shared" ref="BE783" si="2681">+D783</f>
        <v>40784</v>
      </c>
      <c r="BF783" s="66"/>
      <c r="BG783" s="144">
        <f t="shared" ref="BG783" si="2682">+BE783/BA783</f>
        <v>6.0334663287783502E-2</v>
      </c>
      <c r="BH783" s="66"/>
      <c r="BI783" s="170"/>
      <c r="BJ783" s="66"/>
      <c r="BK783" s="66"/>
      <c r="BL783" s="66"/>
      <c r="BM783" s="144"/>
      <c r="BN783" s="65">
        <f t="shared" ref="BN783" si="2683">+BC783/BW783</f>
        <v>1300089.9121447029</v>
      </c>
      <c r="BO783" s="66"/>
      <c r="BP783" s="66">
        <f t="shared" ref="BP783" si="2684">+BP782+BE783</f>
        <v>71855927</v>
      </c>
      <c r="BQ783" s="66"/>
      <c r="BR783" s="435">
        <f t="shared" ref="BR783" si="2685">+BP783/BC783</f>
        <v>7.1408226554062468E-2</v>
      </c>
      <c r="BS783" s="66"/>
      <c r="BT783" s="75"/>
      <c r="BU783" s="170"/>
      <c r="BV783" s="1"/>
      <c r="BW783" s="61">
        <f t="shared" si="1544"/>
        <v>774</v>
      </c>
      <c r="BY783" s="56"/>
      <c r="BZ783" s="1"/>
      <c r="CA783" s="61"/>
    </row>
    <row r="784" spans="2:79" x14ac:dyDescent="0.3">
      <c r="B784" s="158">
        <f t="shared" si="2425"/>
        <v>44684</v>
      </c>
      <c r="C784" s="61"/>
      <c r="D784" s="17">
        <v>64031</v>
      </c>
      <c r="E784" s="16"/>
      <c r="F784" s="16"/>
      <c r="G784" s="16"/>
      <c r="H784" s="16">
        <f t="shared" ref="H784" si="2686">+H783+D784</f>
        <v>72826936</v>
      </c>
      <c r="I784" s="16"/>
      <c r="J784" s="436">
        <f t="shared" ref="J784" si="2687">+D784/H783</f>
        <v>8.7999510189979357E-4</v>
      </c>
      <c r="K784" s="16"/>
      <c r="L784" s="16"/>
      <c r="M784" s="16"/>
      <c r="N784" s="16">
        <f t="shared" ref="N784" si="2688">SUM(D778:D784)</f>
        <v>331899</v>
      </c>
      <c r="O784" s="16">
        <f t="shared" ref="O784" si="2689">+H784/BW784</f>
        <v>93970.240000000005</v>
      </c>
      <c r="P784" s="41"/>
      <c r="Q784" s="17">
        <f t="shared" ref="Q784" si="2690">SUM(D778:D784)</f>
        <v>331899</v>
      </c>
      <c r="R784" s="16"/>
      <c r="S784" s="60">
        <f t="shared" ref="S784" si="2691">+(Q784-Q777)/Q777</f>
        <v>0.30521418711927861</v>
      </c>
      <c r="T784" s="16"/>
      <c r="U784" s="41"/>
      <c r="V784" s="10">
        <f t="shared" si="558"/>
        <v>676</v>
      </c>
      <c r="W784" s="34">
        <v>429</v>
      </c>
      <c r="X784" s="33">
        <v>4256</v>
      </c>
      <c r="Y784" s="33"/>
      <c r="Z784" s="33">
        <f t="shared" ref="Z784" si="2692">SUM(W779:W784)</f>
        <v>1275</v>
      </c>
      <c r="AA784" s="33">
        <f t="shared" ref="AA784" si="2693">+AA783+W784</f>
        <v>892393</v>
      </c>
      <c r="AB784" s="33"/>
      <c r="AC784" s="46">
        <f t="shared" ref="AC784" si="2694">+AA784/H784</f>
        <v>1.2253611768041428E-2</v>
      </c>
      <c r="AD784" s="33"/>
      <c r="AE784" s="33">
        <f t="shared" ref="AE784" si="2695">+AA784/BW784</f>
        <v>1151.4748387096774</v>
      </c>
      <c r="AF784" s="50"/>
      <c r="AG784" s="33"/>
      <c r="AH784" s="33"/>
      <c r="AI784" s="213"/>
      <c r="AJ784" s="50"/>
      <c r="AL784" s="23">
        <f t="shared" ref="AL784" si="2696">+AP784-AP783</f>
        <v>40319</v>
      </c>
      <c r="AM784" s="24"/>
      <c r="AN784" s="24"/>
      <c r="AO784" s="24">
        <v>178263</v>
      </c>
      <c r="AP784" s="24">
        <v>80797743</v>
      </c>
      <c r="AQ784" s="24">
        <v>20336656</v>
      </c>
      <c r="AR784" s="461">
        <f t="shared" ref="AR784" si="2697">+AL784/AP783</f>
        <v>4.9926060048671186E-4</v>
      </c>
      <c r="AS784" s="25"/>
      <c r="AT784" s="25"/>
      <c r="AU784" s="24"/>
      <c r="AV784" s="298">
        <f t="shared" ref="AV784" si="2698">+AP784/H784</f>
        <v>1.1094486111567292</v>
      </c>
      <c r="AW784" s="298"/>
      <c r="AX784" s="24">
        <f t="shared" ref="AX784" si="2699">+AP784/BW784</f>
        <v>104255.15225806451</v>
      </c>
      <c r="AY784" s="308"/>
      <c r="BA784" s="65">
        <f t="shared" ref="BA784" si="2700">+BC784-BC783</f>
        <v>1022929</v>
      </c>
      <c r="BB784" s="66"/>
      <c r="BC784" s="66">
        <v>1007292521</v>
      </c>
      <c r="BD784" s="66"/>
      <c r="BE784" s="66">
        <f t="shared" ref="BE784" si="2701">+D784</f>
        <v>64031</v>
      </c>
      <c r="BF784" s="66"/>
      <c r="BG784" s="144">
        <f t="shared" ref="BG784" si="2702">+BE784/BA784</f>
        <v>6.2595742226488837E-2</v>
      </c>
      <c r="BH784" s="66"/>
      <c r="BI784" s="170"/>
      <c r="BJ784" s="66"/>
      <c r="BK784" s="66"/>
      <c r="BL784" s="66"/>
      <c r="BM784" s="144"/>
      <c r="BN784" s="65">
        <f t="shared" ref="BN784" si="2703">+BC784/BW784</f>
        <v>1299732.2851612903</v>
      </c>
      <c r="BO784" s="66"/>
      <c r="BP784" s="66">
        <f t="shared" ref="BP784" si="2704">+BP783+BE784</f>
        <v>71919958</v>
      </c>
      <c r="BQ784" s="66"/>
      <c r="BR784" s="435">
        <f t="shared" ref="BR784" si="2705">+BP784/BC784</f>
        <v>7.1399277271115572E-2</v>
      </c>
      <c r="BS784" s="66"/>
      <c r="BT784" s="75"/>
      <c r="BU784" s="170"/>
      <c r="BV784" s="1"/>
      <c r="BW784" s="61">
        <f t="shared" si="1544"/>
        <v>775</v>
      </c>
      <c r="BY784" s="56"/>
      <c r="BZ784" s="1"/>
      <c r="CA784" s="61"/>
    </row>
    <row r="785" spans="2:79" x14ac:dyDescent="0.3">
      <c r="B785" s="158">
        <f t="shared" si="2425"/>
        <v>44685</v>
      </c>
      <c r="C785" s="61"/>
      <c r="D785" s="17">
        <v>71798</v>
      </c>
      <c r="E785" s="16"/>
      <c r="F785" s="16"/>
      <c r="G785" s="16"/>
      <c r="H785" s="16">
        <f t="shared" ref="H785" si="2706">+H784+D785</f>
        <v>72898734</v>
      </c>
      <c r="I785" s="16"/>
      <c r="J785" s="436">
        <f t="shared" ref="J785" si="2707">+D785/H784</f>
        <v>9.8587149128448849E-4</v>
      </c>
      <c r="K785" s="16"/>
      <c r="L785" s="16"/>
      <c r="M785" s="16"/>
      <c r="N785" s="16">
        <f t="shared" ref="N785" si="2708">SUM(D779:D785)</f>
        <v>345959</v>
      </c>
      <c r="O785" s="16">
        <f t="shared" ref="O785" si="2709">+H785/BW785</f>
        <v>93941.667525773199</v>
      </c>
      <c r="P785" s="41"/>
      <c r="Q785" s="17">
        <f t="shared" ref="Q785" si="2710">SUM(D779:D785)</f>
        <v>345959</v>
      </c>
      <c r="R785" s="16"/>
      <c r="S785" s="60">
        <f t="shared" ref="S785" si="2711">+(Q785-Q778)/Q778</f>
        <v>0.30324342650493485</v>
      </c>
      <c r="T785" s="16"/>
      <c r="U785" s="41"/>
      <c r="V785" s="10">
        <f t="shared" si="558"/>
        <v>677</v>
      </c>
      <c r="W785" s="34">
        <v>305</v>
      </c>
      <c r="X785" s="33">
        <v>4256</v>
      </c>
      <c r="Y785" s="33"/>
      <c r="Z785" s="33">
        <f t="shared" ref="Z785" si="2712">SUM(W780:W785)</f>
        <v>1255</v>
      </c>
      <c r="AA785" s="33">
        <f t="shared" ref="AA785" si="2713">+AA784+W785</f>
        <v>892698</v>
      </c>
      <c r="AB785" s="33"/>
      <c r="AC785" s="46">
        <f t="shared" ref="AC785" si="2714">+AA785/H785</f>
        <v>1.2245727065712829E-2</v>
      </c>
      <c r="AD785" s="33"/>
      <c r="AE785" s="33">
        <f t="shared" ref="AE785" si="2715">+AA785/BW785</f>
        <v>1150.3840206185566</v>
      </c>
      <c r="AF785" s="50"/>
      <c r="AG785" s="33"/>
      <c r="AH785" s="33"/>
      <c r="AI785" s="213"/>
      <c r="AJ785" s="50"/>
      <c r="AL785" s="23">
        <f t="shared" ref="AL785" si="2716">+AP785-AP784</f>
        <v>38675</v>
      </c>
      <c r="AM785" s="24"/>
      <c r="AN785" s="24"/>
      <c r="AO785" s="24">
        <v>178263</v>
      </c>
      <c r="AP785" s="24">
        <v>80836418</v>
      </c>
      <c r="AQ785" s="24">
        <v>20336656</v>
      </c>
      <c r="AR785" s="461">
        <f t="shared" ref="AR785" si="2717">+AL785/AP784</f>
        <v>4.7866436071116494E-4</v>
      </c>
      <c r="AS785" s="25"/>
      <c r="AT785" s="25"/>
      <c r="AU785" s="24"/>
      <c r="AV785" s="298">
        <f t="shared" ref="AV785" si="2718">+AP785/H785</f>
        <v>1.1088864451336014</v>
      </c>
      <c r="AW785" s="298"/>
      <c r="AX785" s="24">
        <f t="shared" ref="AX785" si="2719">+AP785/BW785</f>
        <v>104170.64175257731</v>
      </c>
      <c r="AY785" s="308"/>
      <c r="BA785" s="65">
        <f t="shared" ref="BA785" si="2720">+BC785-BC784</f>
        <v>908741</v>
      </c>
      <c r="BB785" s="66"/>
      <c r="BC785" s="66">
        <v>1008201262</v>
      </c>
      <c r="BD785" s="66"/>
      <c r="BE785" s="66">
        <f t="shared" ref="BE785" si="2721">+D785</f>
        <v>71798</v>
      </c>
      <c r="BF785" s="66"/>
      <c r="BG785" s="144">
        <f t="shared" ref="BG785" si="2722">+BE785/BA785</f>
        <v>7.9008210260129122E-2</v>
      </c>
      <c r="BH785" s="66"/>
      <c r="BI785" s="170"/>
      <c r="BJ785" s="66"/>
      <c r="BK785" s="66"/>
      <c r="BL785" s="66"/>
      <c r="BM785" s="144"/>
      <c r="BN785" s="65">
        <f t="shared" ref="BN785" si="2723">+BC785/BW785</f>
        <v>1299228.4304123712</v>
      </c>
      <c r="BO785" s="66"/>
      <c r="BP785" s="66">
        <f t="shared" ref="BP785" si="2724">+BP784+BE785</f>
        <v>71991756</v>
      </c>
      <c r="BQ785" s="66"/>
      <c r="BR785" s="435">
        <f t="shared" ref="BR785" si="2725">+BP785/BC785</f>
        <v>7.1406135573752139E-2</v>
      </c>
      <c r="BS785" s="66"/>
      <c r="BT785" s="75"/>
      <c r="BU785" s="170"/>
      <c r="BV785" s="1"/>
      <c r="BW785" s="61">
        <f t="shared" si="1544"/>
        <v>776</v>
      </c>
      <c r="BY785" s="56"/>
      <c r="BZ785" s="1"/>
      <c r="CA785" s="61"/>
    </row>
    <row r="786" spans="2:79" x14ac:dyDescent="0.3">
      <c r="B786" s="158">
        <f t="shared" si="2425"/>
        <v>44686</v>
      </c>
      <c r="C786" s="61"/>
      <c r="D786" s="17">
        <v>66611</v>
      </c>
      <c r="E786" s="16"/>
      <c r="F786" s="16"/>
      <c r="G786" s="16"/>
      <c r="H786" s="16">
        <f t="shared" ref="H786" si="2726">+H785+D786</f>
        <v>72965345</v>
      </c>
      <c r="I786" s="16"/>
      <c r="J786" s="436">
        <f t="shared" ref="J786" si="2727">+D786/H785</f>
        <v>9.1374700690961244E-4</v>
      </c>
      <c r="K786" s="16"/>
      <c r="L786" s="16"/>
      <c r="M786" s="16"/>
      <c r="N786" s="16">
        <f t="shared" ref="N786" si="2728">SUM(D780:D786)</f>
        <v>347126</v>
      </c>
      <c r="O786" s="16">
        <f t="shared" ref="O786" si="2729">+H786/BW786</f>
        <v>93906.492921492914</v>
      </c>
      <c r="P786" s="41"/>
      <c r="Q786" s="17">
        <f t="shared" ref="Q786" si="2730">SUM(D780:D786)</f>
        <v>347126</v>
      </c>
      <c r="R786" s="16"/>
      <c r="S786" s="60">
        <f t="shared" ref="S786" si="2731">+(Q786-Q779)/Q779</f>
        <v>0.21500175008750438</v>
      </c>
      <c r="T786" s="16"/>
      <c r="U786" s="41"/>
      <c r="V786" s="10">
        <f t="shared" si="558"/>
        <v>678</v>
      </c>
      <c r="W786" s="34">
        <v>255</v>
      </c>
      <c r="X786" s="33">
        <v>4256</v>
      </c>
      <c r="Y786" s="33"/>
      <c r="Z786" s="33">
        <f t="shared" ref="Z786" si="2732">SUM(W781:W786)</f>
        <v>1247</v>
      </c>
      <c r="AA786" s="33">
        <f t="shared" ref="AA786" si="2733">+AA785+W786</f>
        <v>892953</v>
      </c>
      <c r="AB786" s="33"/>
      <c r="AC786" s="46">
        <f t="shared" ref="AC786" si="2734">+AA786/H786</f>
        <v>1.2238042594056123E-2</v>
      </c>
      <c r="AD786" s="33"/>
      <c r="AE786" s="33">
        <f t="shared" ref="AE786" si="2735">+AA786/BW786</f>
        <v>1149.2316602316603</v>
      </c>
      <c r="AF786" s="50"/>
      <c r="AG786" s="33"/>
      <c r="AH786" s="33"/>
      <c r="AI786" s="213"/>
      <c r="AJ786" s="50"/>
      <c r="AL786" s="23">
        <f t="shared" ref="AL786" si="2736">+AP786-AP785</f>
        <v>35704</v>
      </c>
      <c r="AM786" s="24"/>
      <c r="AN786" s="24"/>
      <c r="AO786" s="24">
        <v>178263</v>
      </c>
      <c r="AP786" s="24">
        <v>80872122</v>
      </c>
      <c r="AQ786" s="24">
        <v>20336656</v>
      </c>
      <c r="AR786" s="461">
        <f t="shared" ref="AR786" si="2737">+AL786/AP785</f>
        <v>4.4168211411841626E-4</v>
      </c>
      <c r="AS786" s="25"/>
      <c r="AT786" s="25"/>
      <c r="AU786" s="24"/>
      <c r="AV786" s="298">
        <f t="shared" ref="AV786" si="2738">+AP786/H786</f>
        <v>1.1083634566519216</v>
      </c>
      <c r="AW786" s="298"/>
      <c r="AX786" s="24">
        <f t="shared" ref="AX786" si="2739">+AP786/BW786</f>
        <v>104082.5250965251</v>
      </c>
      <c r="AY786" s="308"/>
      <c r="BA786" s="65">
        <f t="shared" ref="BA786" si="2740">+BC786-BC785</f>
        <v>531235</v>
      </c>
      <c r="BB786" s="66"/>
      <c r="BC786" s="66">
        <v>1008732497</v>
      </c>
      <c r="BD786" s="66"/>
      <c r="BE786" s="66">
        <f t="shared" ref="BE786" si="2741">+D786</f>
        <v>66611</v>
      </c>
      <c r="BF786" s="66"/>
      <c r="BG786" s="144">
        <f t="shared" ref="BG786" si="2742">+BE786/BA786</f>
        <v>0.12538895215864918</v>
      </c>
      <c r="BH786" s="66"/>
      <c r="BI786" s="170"/>
      <c r="BJ786" s="66"/>
      <c r="BK786" s="66"/>
      <c r="BL786" s="66"/>
      <c r="BM786" s="144"/>
      <c r="BN786" s="65">
        <f t="shared" ref="BN786" si="2743">+BC786/BW786</f>
        <v>1298240.0218790218</v>
      </c>
      <c r="BO786" s="66"/>
      <c r="BP786" s="66">
        <f t="shared" ref="BP786" si="2744">+BP785+BE786</f>
        <v>72058367</v>
      </c>
      <c r="BQ786" s="66"/>
      <c r="BR786" s="435">
        <f t="shared" ref="BR786" si="2745">+BP786/BC786</f>
        <v>7.1434564876519488E-2</v>
      </c>
      <c r="BS786" s="66"/>
      <c r="BT786" s="75"/>
      <c r="BU786" s="170"/>
      <c r="BV786" s="1"/>
      <c r="BW786" s="61">
        <f t="shared" si="1544"/>
        <v>777</v>
      </c>
      <c r="BY786" s="56"/>
      <c r="BZ786" s="1"/>
      <c r="CA786" s="61"/>
    </row>
    <row r="787" spans="2:79" x14ac:dyDescent="0.3">
      <c r="B787" s="158">
        <f t="shared" si="2425"/>
        <v>44687</v>
      </c>
      <c r="C787" s="61"/>
      <c r="D787" s="17">
        <v>77116</v>
      </c>
      <c r="E787" s="16"/>
      <c r="F787" s="16"/>
      <c r="G787" s="16"/>
      <c r="H787" s="16">
        <f t="shared" ref="H787" si="2746">+H786+D787</f>
        <v>73042461</v>
      </c>
      <c r="I787" s="16"/>
      <c r="J787" s="436">
        <f t="shared" ref="J787" si="2747">+D787/H786</f>
        <v>1.0568852926002062E-3</v>
      </c>
      <c r="K787" s="16"/>
      <c r="L787" s="16"/>
      <c r="M787" s="16"/>
      <c r="N787" s="16">
        <f t="shared" ref="N787" si="2748">SUM(D781:D787)</f>
        <v>361249</v>
      </c>
      <c r="O787" s="16">
        <f t="shared" ref="O787" si="2749">+H787/BW787</f>
        <v>93884.911311053991</v>
      </c>
      <c r="P787" s="41"/>
      <c r="Q787" s="17">
        <f t="shared" ref="Q787" si="2750">SUM(D781:D787)</f>
        <v>361249</v>
      </c>
      <c r="R787" s="16"/>
      <c r="S787" s="60">
        <f t="shared" ref="S787" si="2751">+(Q787-Q780)/Q780</f>
        <v>0.22631882680426368</v>
      </c>
      <c r="T787" s="16"/>
      <c r="U787" s="41"/>
      <c r="V787" s="10">
        <f t="shared" si="558"/>
        <v>679</v>
      </c>
      <c r="W787" s="34">
        <v>291</v>
      </c>
      <c r="X787" s="33">
        <v>4256</v>
      </c>
      <c r="Y787" s="33"/>
      <c r="Z787" s="33">
        <f t="shared" ref="Z787" si="2752">SUM(W782:W787)</f>
        <v>1423</v>
      </c>
      <c r="AA787" s="33">
        <f t="shared" ref="AA787" si="2753">+AA786+W787</f>
        <v>893244</v>
      </c>
      <c r="AB787" s="33"/>
      <c r="AC787" s="46">
        <f t="shared" ref="AC787" si="2754">+AA787/H787</f>
        <v>1.2229106026424822E-2</v>
      </c>
      <c r="AD787" s="33"/>
      <c r="AE787" s="33">
        <f t="shared" ref="AE787" si="2755">+AA787/BW787</f>
        <v>1148.1285347043702</v>
      </c>
      <c r="AF787" s="50"/>
      <c r="AG787" s="33"/>
      <c r="AH787" s="33"/>
      <c r="AI787" s="213"/>
      <c r="AJ787" s="50"/>
      <c r="AL787" s="23">
        <f t="shared" ref="AL787" si="2756">+AP787-AP786</f>
        <v>38387</v>
      </c>
      <c r="AM787" s="24"/>
      <c r="AN787" s="24"/>
      <c r="AO787" s="24">
        <v>178263</v>
      </c>
      <c r="AP787" s="24">
        <v>80910509</v>
      </c>
      <c r="AQ787" s="24">
        <v>20336656</v>
      </c>
      <c r="AR787" s="461">
        <f t="shared" ref="AR787" si="2757">+AL787/AP786</f>
        <v>4.7466294998417378E-4</v>
      </c>
      <c r="AS787" s="25"/>
      <c r="AT787" s="25"/>
      <c r="AU787" s="24"/>
      <c r="AV787" s="298">
        <f t="shared" ref="AV787" si="2758">+AP787/H787</f>
        <v>1.1077188239865028</v>
      </c>
      <c r="AW787" s="298"/>
      <c r="AX787" s="24">
        <f t="shared" ref="AX787" si="2759">+AP787/BW787</f>
        <v>103998.08354755784</v>
      </c>
      <c r="AY787" s="308"/>
      <c r="BA787" s="65">
        <f t="shared" ref="BA787" si="2760">+BC787-BC786</f>
        <v>2367751</v>
      </c>
      <c r="BB787" s="66"/>
      <c r="BC787" s="66">
        <v>1011100248</v>
      </c>
      <c r="BD787" s="66"/>
      <c r="BE787" s="66">
        <f t="shared" ref="BE787" si="2761">+D787</f>
        <v>77116</v>
      </c>
      <c r="BF787" s="66"/>
      <c r="BG787" s="144">
        <f t="shared" ref="BG787" si="2762">+BE787/BA787</f>
        <v>3.2569303106618895E-2</v>
      </c>
      <c r="BH787" s="66"/>
      <c r="BI787" s="170"/>
      <c r="BJ787" s="66"/>
      <c r="BK787" s="66"/>
      <c r="BL787" s="66"/>
      <c r="BM787" s="144"/>
      <c r="BN787" s="65">
        <f t="shared" ref="BN787" si="2763">+BC787/BW787</f>
        <v>1299614.7146529562</v>
      </c>
      <c r="BO787" s="66"/>
      <c r="BP787" s="66">
        <f t="shared" ref="BP787" si="2764">+BP786+BE787</f>
        <v>72135483</v>
      </c>
      <c r="BQ787" s="66"/>
      <c r="BR787" s="435">
        <f t="shared" ref="BR787" si="2765">+BP787/BC787</f>
        <v>7.1343551880920911E-2</v>
      </c>
      <c r="BS787" s="66"/>
      <c r="BT787" s="75"/>
      <c r="BU787" s="170"/>
      <c r="BV787" s="1"/>
      <c r="BW787" s="61">
        <f t="shared" si="1544"/>
        <v>778</v>
      </c>
      <c r="BY787" s="56"/>
      <c r="BZ787" s="1"/>
      <c r="CA787" s="61"/>
    </row>
    <row r="788" spans="2:79" x14ac:dyDescent="0.3">
      <c r="B788" s="158">
        <f t="shared" si="2425"/>
        <v>44688</v>
      </c>
      <c r="C788" s="61"/>
      <c r="D788" s="17">
        <v>31143</v>
      </c>
      <c r="E788" s="16"/>
      <c r="F788" s="16"/>
      <c r="G788" s="16"/>
      <c r="H788" s="16">
        <f t="shared" ref="H788" si="2766">+H787+D788</f>
        <v>73073604</v>
      </c>
      <c r="I788" s="16"/>
      <c r="J788" s="436">
        <f t="shared" ref="J788" si="2767">+D788/H787</f>
        <v>4.2636843794187053E-4</v>
      </c>
      <c r="K788" s="16"/>
      <c r="L788" s="16"/>
      <c r="M788" s="16"/>
      <c r="N788" s="16">
        <f t="shared" ref="N788" si="2768">SUM(D782:D788)</f>
        <v>367641</v>
      </c>
      <c r="O788" s="16">
        <f t="shared" ref="O788" si="2769">+H788/BW788</f>
        <v>93804.369704749683</v>
      </c>
      <c r="P788" s="41"/>
      <c r="Q788" s="17">
        <f t="shared" ref="Q788" si="2770">SUM(D782:D788)</f>
        <v>367641</v>
      </c>
      <c r="R788" s="16"/>
      <c r="S788" s="60">
        <f t="shared" ref="S788" si="2771">+(Q788-Q781)/Q781</f>
        <v>0.22000438037591591</v>
      </c>
      <c r="T788" s="16"/>
      <c r="U788" s="41"/>
      <c r="V788" s="10">
        <f t="shared" si="558"/>
        <v>680</v>
      </c>
      <c r="W788" s="34">
        <v>87</v>
      </c>
      <c r="X788" s="33">
        <v>4256</v>
      </c>
      <c r="Y788" s="33"/>
      <c r="Z788" s="33">
        <f t="shared" ref="Z788" si="2772">SUM(W783:W788)</f>
        <v>1489</v>
      </c>
      <c r="AA788" s="33">
        <f t="shared" ref="AA788" si="2773">+AA787+W788</f>
        <v>893331</v>
      </c>
      <c r="AB788" s="33"/>
      <c r="AC788" s="46">
        <f t="shared" ref="AC788" si="2774">+AA788/H788</f>
        <v>1.2225084724163872E-2</v>
      </c>
      <c r="AD788" s="33"/>
      <c r="AE788" s="33">
        <f t="shared" ref="AE788" si="2775">+AA788/BW788</f>
        <v>1146.7663671373555</v>
      </c>
      <c r="AF788" s="50"/>
      <c r="AG788" s="33"/>
      <c r="AH788" s="33"/>
      <c r="AI788" s="213"/>
      <c r="AJ788" s="50"/>
      <c r="AL788" s="23">
        <f t="shared" ref="AL788" si="2776">+AP788-AP787</f>
        <v>19577</v>
      </c>
      <c r="AM788" s="24"/>
      <c r="AN788" s="24"/>
      <c r="AO788" s="24">
        <v>178263</v>
      </c>
      <c r="AP788" s="24">
        <v>80930086</v>
      </c>
      <c r="AQ788" s="24">
        <v>20336656</v>
      </c>
      <c r="AR788" s="461">
        <f t="shared" ref="AR788" si="2777">+AL788/AP787</f>
        <v>2.4195868054667657E-4</v>
      </c>
      <c r="AS788" s="25"/>
      <c r="AT788" s="25"/>
      <c r="AU788" s="24"/>
      <c r="AV788" s="298">
        <f t="shared" ref="AV788" si="2778">+AP788/H788</f>
        <v>1.1075146368858446</v>
      </c>
      <c r="AW788" s="298"/>
      <c r="AX788" s="24">
        <f t="shared" ref="AX788" si="2779">+AP788/BW788</f>
        <v>103889.71245186136</v>
      </c>
      <c r="AY788" s="308"/>
      <c r="BA788" s="65">
        <f t="shared" ref="BA788" si="2780">+BC788-BC787</f>
        <v>222193</v>
      </c>
      <c r="BB788" s="66"/>
      <c r="BC788" s="66">
        <v>1011322441</v>
      </c>
      <c r="BD788" s="66"/>
      <c r="BE788" s="66">
        <f t="shared" ref="BE788" si="2781">+D788</f>
        <v>31143</v>
      </c>
      <c r="BF788" s="66"/>
      <c r="BG788" s="144">
        <f t="shared" ref="BG788" si="2782">+BE788/BA788</f>
        <v>0.14016193129396515</v>
      </c>
      <c r="BH788" s="66"/>
      <c r="BI788" s="170"/>
      <c r="BJ788" s="66"/>
      <c r="BK788" s="66"/>
      <c r="BL788" s="66"/>
      <c r="BM788" s="144"/>
      <c r="BN788" s="65">
        <f t="shared" ref="BN788" si="2783">+BC788/BW788</f>
        <v>1298231.6315789474</v>
      </c>
      <c r="BO788" s="66"/>
      <c r="BP788" s="66">
        <f t="shared" ref="BP788" si="2784">+BP787+BE788</f>
        <v>72166626</v>
      </c>
      <c r="BQ788" s="66"/>
      <c r="BR788" s="435">
        <f t="shared" ref="BR788" si="2785">+BP788/BC788</f>
        <v>7.1358671650399969E-2</v>
      </c>
      <c r="BS788" s="66"/>
      <c r="BT788" s="75"/>
      <c r="BU788" s="170"/>
      <c r="BV788" s="1"/>
      <c r="BW788" s="61">
        <f t="shared" si="1544"/>
        <v>779</v>
      </c>
      <c r="BY788" s="56"/>
      <c r="BZ788" s="1"/>
      <c r="CA788" s="61"/>
    </row>
    <row r="789" spans="2:79" x14ac:dyDescent="0.3">
      <c r="B789" s="347">
        <f t="shared" si="2425"/>
        <v>44689</v>
      </c>
      <c r="C789" s="61"/>
      <c r="D789" s="17">
        <v>14008</v>
      </c>
      <c r="E789" s="16"/>
      <c r="F789" s="16"/>
      <c r="G789" s="16"/>
      <c r="H789" s="16">
        <f t="shared" ref="H789" si="2786">+H788+D789</f>
        <v>73087612</v>
      </c>
      <c r="I789" s="16"/>
      <c r="J789" s="436">
        <f t="shared" ref="J789" si="2787">+D789/H788</f>
        <v>1.9169712773438682E-4</v>
      </c>
      <c r="K789" s="16"/>
      <c r="L789" s="16"/>
      <c r="M789" s="16"/>
      <c r="N789" s="16">
        <f t="shared" ref="N789" si="2788">SUM(D783:D789)</f>
        <v>365491</v>
      </c>
      <c r="O789" s="16">
        <f t="shared" ref="O789" si="2789">+H789/BW789</f>
        <v>93702.066666666666</v>
      </c>
      <c r="P789" s="41"/>
      <c r="Q789" s="17">
        <f t="shared" ref="Q789" si="2790">SUM(D783:D789)</f>
        <v>365491</v>
      </c>
      <c r="R789" s="16"/>
      <c r="S789" s="60">
        <f t="shared" ref="S789" si="2791">+(Q789-Q782)/Q782</f>
        <v>0.20016878302187283</v>
      </c>
      <c r="T789" s="16"/>
      <c r="U789" s="41"/>
      <c r="V789" s="10">
        <f t="shared" si="558"/>
        <v>681</v>
      </c>
      <c r="W789" s="34">
        <v>21</v>
      </c>
      <c r="X789" s="33">
        <v>4256</v>
      </c>
      <c r="Y789" s="33"/>
      <c r="Z789" s="33">
        <f t="shared" ref="Z789" si="2792">SUM(W784:W789)</f>
        <v>1388</v>
      </c>
      <c r="AA789" s="33">
        <f t="shared" ref="AA789" si="2793">+AA788+W789</f>
        <v>893352</v>
      </c>
      <c r="AB789" s="33"/>
      <c r="AC789" s="46">
        <f t="shared" ref="AC789" si="2794">+AA789/H789</f>
        <v>1.2223028986088642E-2</v>
      </c>
      <c r="AD789" s="33"/>
      <c r="AE789" s="33">
        <f t="shared" ref="AE789" si="2795">+AA789/BW789</f>
        <v>1145.323076923077</v>
      </c>
      <c r="AF789" s="50"/>
      <c r="AG789" s="33"/>
      <c r="AH789" s="33"/>
      <c r="AI789" s="213"/>
      <c r="AJ789" s="50"/>
      <c r="AL789" s="23">
        <f t="shared" ref="AL789" si="2796">+AP789-AP788</f>
        <v>14771</v>
      </c>
      <c r="AM789" s="24"/>
      <c r="AN789" s="24"/>
      <c r="AO789" s="24">
        <v>178263</v>
      </c>
      <c r="AP789" s="24">
        <v>80944857</v>
      </c>
      <c r="AQ789" s="24">
        <v>20336656</v>
      </c>
      <c r="AR789" s="461">
        <f t="shared" ref="AR789" si="2797">+AL789/AP788</f>
        <v>1.8251556040605219E-4</v>
      </c>
      <c r="AS789" s="25"/>
      <c r="AT789" s="25"/>
      <c r="AU789" s="24"/>
      <c r="AV789" s="298">
        <f t="shared" ref="AV789" si="2798">+AP789/H789</f>
        <v>1.1075044701145798</v>
      </c>
      <c r="AW789" s="298"/>
      <c r="AX789" s="24">
        <f t="shared" ref="AX789" si="2799">+AP789/BW789</f>
        <v>103775.4576923077</v>
      </c>
      <c r="AY789" s="308"/>
      <c r="BA789" s="65">
        <f t="shared" ref="BA789" si="2800">+BC789-BC788</f>
        <v>162565</v>
      </c>
      <c r="BB789" s="66"/>
      <c r="BC789" s="66">
        <v>1011485006</v>
      </c>
      <c r="BD789" s="66"/>
      <c r="BE789" s="66">
        <f t="shared" ref="BE789" si="2801">+D789</f>
        <v>14008</v>
      </c>
      <c r="BF789" s="66"/>
      <c r="BG789" s="144">
        <f t="shared" ref="BG789" si="2802">+BE789/BA789</f>
        <v>8.6168609479285216E-2</v>
      </c>
      <c r="BH789" s="66"/>
      <c r="BI789" s="170"/>
      <c r="BJ789" s="66"/>
      <c r="BK789" s="66"/>
      <c r="BL789" s="66"/>
      <c r="BM789" s="144"/>
      <c r="BN789" s="65">
        <f t="shared" ref="BN789" si="2803">+BC789/BW789</f>
        <v>1296775.6487179487</v>
      </c>
      <c r="BO789" s="66"/>
      <c r="BP789" s="66">
        <f t="shared" ref="BP789" si="2804">+BP788+BE789</f>
        <v>72180634</v>
      </c>
      <c r="BQ789" s="66"/>
      <c r="BR789" s="435">
        <f t="shared" ref="BR789" si="2805">+BP789/BC789</f>
        <v>7.1361051890867083E-2</v>
      </c>
      <c r="BS789" s="66"/>
      <c r="BT789" s="75"/>
      <c r="BU789" s="170"/>
      <c r="BV789" s="1"/>
      <c r="BW789" s="61">
        <f t="shared" si="1544"/>
        <v>780</v>
      </c>
      <c r="BY789" s="56"/>
      <c r="BZ789" s="1"/>
      <c r="CA789" s="61"/>
    </row>
    <row r="790" spans="2:79" x14ac:dyDescent="0.3">
      <c r="B790" s="158">
        <f t="shared" si="2425"/>
        <v>44690</v>
      </c>
      <c r="C790" s="61"/>
      <c r="D790" s="17">
        <v>60988</v>
      </c>
      <c r="E790" s="16"/>
      <c r="F790" s="16"/>
      <c r="G790" s="16"/>
      <c r="H790" s="16">
        <f t="shared" ref="H790" si="2806">+H789+D790</f>
        <v>73148600</v>
      </c>
      <c r="I790" s="16"/>
      <c r="J790" s="436">
        <f t="shared" ref="J790" si="2807">+D790/H789</f>
        <v>8.3445057693224398E-4</v>
      </c>
      <c r="K790" s="16"/>
      <c r="L790" s="16"/>
      <c r="M790" s="16"/>
      <c r="N790" s="16">
        <f t="shared" ref="N790" si="2808">SUM(D784:D790)</f>
        <v>385695</v>
      </c>
      <c r="O790" s="16">
        <f t="shared" ref="O790" si="2809">+H790/BW790</f>
        <v>93660.179257362353</v>
      </c>
      <c r="P790" s="41"/>
      <c r="Q790" s="17">
        <f t="shared" ref="Q790" si="2810">SUM(D784:D790)</f>
        <v>385695</v>
      </c>
      <c r="R790" s="16"/>
      <c r="S790" s="60">
        <f t="shared" ref="S790" si="2811">+(Q790-Q783)/Q783</f>
        <v>0.24253807073892833</v>
      </c>
      <c r="T790" s="16"/>
      <c r="U790" s="41"/>
      <c r="V790" s="10">
        <f t="shared" si="558"/>
        <v>682</v>
      </c>
      <c r="W790" s="34">
        <v>125</v>
      </c>
      <c r="X790" s="33">
        <v>4256</v>
      </c>
      <c r="Y790" s="33"/>
      <c r="Z790" s="33">
        <f t="shared" ref="Z790" si="2812">SUM(W785:W790)</f>
        <v>1084</v>
      </c>
      <c r="AA790" s="33">
        <f t="shared" ref="AA790" si="2813">+AA789+W790</f>
        <v>893477</v>
      </c>
      <c r="AB790" s="33"/>
      <c r="AC790" s="46">
        <f t="shared" ref="AC790" si="2814">+AA790/H790</f>
        <v>1.2214546826596819E-2</v>
      </c>
      <c r="AD790" s="33"/>
      <c r="AE790" s="33">
        <f t="shared" ref="AE790" si="2815">+AA790/BW790</f>
        <v>1144.0166453265044</v>
      </c>
      <c r="AF790" s="50"/>
      <c r="AG790" s="33"/>
      <c r="AH790" s="33"/>
      <c r="AI790" s="213"/>
      <c r="AJ790" s="50"/>
      <c r="AL790" s="23">
        <f t="shared" ref="AL790" si="2816">+AP790-AP789</f>
        <v>76241</v>
      </c>
      <c r="AM790" s="24"/>
      <c r="AN790" s="24"/>
      <c r="AO790" s="24">
        <v>178263</v>
      </c>
      <c r="AP790" s="24">
        <v>81021098</v>
      </c>
      <c r="AQ790" s="24">
        <v>20336656</v>
      </c>
      <c r="AR790" s="461">
        <f t="shared" ref="AR790" si="2817">+AL790/AP789</f>
        <v>9.4188813008836368E-4</v>
      </c>
      <c r="AS790" s="25"/>
      <c r="AT790" s="25"/>
      <c r="AU790" s="24"/>
      <c r="AV790" s="298">
        <f t="shared" ref="AV790" si="2818">+AP790/H790</f>
        <v>1.1076233584784945</v>
      </c>
      <c r="AW790" s="298"/>
      <c r="AX790" s="24">
        <f t="shared" ref="AX790" si="2819">+AP790/BW790</f>
        <v>103740.20230473751</v>
      </c>
      <c r="AY790" s="308"/>
      <c r="BA790" s="65">
        <f t="shared" ref="BA790" si="2820">+BC790-BC789</f>
        <v>1387901</v>
      </c>
      <c r="BB790" s="66"/>
      <c r="BC790" s="66">
        <v>1012872907</v>
      </c>
      <c r="BD790" s="66"/>
      <c r="BE790" s="66">
        <f t="shared" ref="BE790" si="2821">+D790</f>
        <v>60988</v>
      </c>
      <c r="BF790" s="66"/>
      <c r="BG790" s="144">
        <f t="shared" ref="BG790" si="2822">+BE790/BA790</f>
        <v>4.3942615503555368E-2</v>
      </c>
      <c r="BH790" s="66"/>
      <c r="BI790" s="170"/>
      <c r="BJ790" s="66"/>
      <c r="BK790" s="66"/>
      <c r="BL790" s="66"/>
      <c r="BM790" s="144"/>
      <c r="BN790" s="65">
        <f t="shared" ref="BN790" si="2823">+BC790/BW790</f>
        <v>1296892.3265044815</v>
      </c>
      <c r="BO790" s="66"/>
      <c r="BP790" s="66">
        <f t="shared" ref="BP790" si="2824">+BP789+BE790</f>
        <v>72241622</v>
      </c>
      <c r="BQ790" s="66"/>
      <c r="BR790" s="435">
        <f t="shared" ref="BR790" si="2825">+BP790/BC790</f>
        <v>7.1323481456296869E-2</v>
      </c>
      <c r="BS790" s="66"/>
      <c r="BT790" s="75"/>
      <c r="BU790" s="170"/>
      <c r="BV790" s="1"/>
      <c r="BW790" s="61">
        <f t="shared" si="1544"/>
        <v>781</v>
      </c>
      <c r="BY790" s="56"/>
      <c r="BZ790" s="1"/>
      <c r="CA790" s="61"/>
    </row>
    <row r="791" spans="2:79" x14ac:dyDescent="0.3">
      <c r="B791" s="158">
        <f t="shared" si="2425"/>
        <v>44691</v>
      </c>
      <c r="C791" s="61"/>
      <c r="D791" s="17">
        <v>59954</v>
      </c>
      <c r="E791" s="16"/>
      <c r="F791" s="16"/>
      <c r="G791" s="16"/>
      <c r="H791" s="16">
        <f t="shared" ref="H791" si="2826">+H790+D791</f>
        <v>73208554</v>
      </c>
      <c r="I791" s="16"/>
      <c r="J791" s="436">
        <f t="shared" ref="J791" si="2827">+D791/H790</f>
        <v>8.1961924083304399E-4</v>
      </c>
      <c r="K791" s="16"/>
      <c r="L791" s="16"/>
      <c r="M791" s="16"/>
      <c r="N791" s="16">
        <f t="shared" ref="N791" si="2828">SUM(D785:D791)</f>
        <v>381618</v>
      </c>
      <c r="O791" s="16">
        <f t="shared" ref="O791" si="2829">+H791/BW791</f>
        <v>93617.076726342711</v>
      </c>
      <c r="P791" s="41"/>
      <c r="Q791" s="17">
        <f t="shared" ref="Q791" si="2830">SUM(D785:D791)</f>
        <v>381618</v>
      </c>
      <c r="R791" s="16"/>
      <c r="S791" s="60">
        <f t="shared" ref="S791" si="2831">+(Q791-Q784)/Q784</f>
        <v>0.1498015962687444</v>
      </c>
      <c r="T791" s="16"/>
      <c r="U791" s="41"/>
      <c r="V791" s="10">
        <f t="shared" si="558"/>
        <v>683</v>
      </c>
      <c r="W791" s="34">
        <v>279</v>
      </c>
      <c r="X791" s="33">
        <v>4256</v>
      </c>
      <c r="Y791" s="33"/>
      <c r="Z791" s="33">
        <f t="shared" ref="Z791" si="2832">SUM(W786:W791)</f>
        <v>1058</v>
      </c>
      <c r="AA791" s="33">
        <f t="shared" ref="AA791" si="2833">+AA790+W791</f>
        <v>893756</v>
      </c>
      <c r="AB791" s="33"/>
      <c r="AC791" s="46">
        <f t="shared" ref="AC791" si="2834">+AA791/H791</f>
        <v>1.2208354777776379E-2</v>
      </c>
      <c r="AD791" s="33"/>
      <c r="AE791" s="33">
        <f t="shared" ref="AE791" si="2835">+AA791/BW791</f>
        <v>1142.9104859335039</v>
      </c>
      <c r="AF791" s="50"/>
      <c r="AG791" s="33"/>
      <c r="AH791" s="33"/>
      <c r="AI791" s="213"/>
      <c r="AJ791" s="50"/>
      <c r="AL791" s="23">
        <f t="shared" ref="AL791" si="2836">+AP791-AP790</f>
        <v>37995</v>
      </c>
      <c r="AM791" s="24"/>
      <c r="AN791" s="24"/>
      <c r="AO791" s="24">
        <v>178263</v>
      </c>
      <c r="AP791" s="24">
        <v>81059093</v>
      </c>
      <c r="AQ791" s="24">
        <v>20336656</v>
      </c>
      <c r="AR791" s="461">
        <f t="shared" ref="AR791" si="2837">+AL791/AP790</f>
        <v>4.6895192657102721E-4</v>
      </c>
      <c r="AS791" s="25"/>
      <c r="AT791" s="25"/>
      <c r="AU791" s="24"/>
      <c r="AV791" s="298">
        <f t="shared" ref="AV791" si="2838">+AP791/H791</f>
        <v>1.1072352692555572</v>
      </c>
      <c r="AW791" s="298"/>
      <c r="AX791" s="24">
        <f t="shared" ref="AX791" si="2839">+AP791/BW791</f>
        <v>103656.12915601023</v>
      </c>
      <c r="AY791" s="308"/>
      <c r="BA791" s="65">
        <f t="shared" ref="BA791" si="2840">+BC791-BC790</f>
        <v>707727</v>
      </c>
      <c r="BB791" s="66"/>
      <c r="BC791" s="66">
        <v>1013580634</v>
      </c>
      <c r="BD791" s="66"/>
      <c r="BE791" s="66">
        <f t="shared" ref="BE791" si="2841">+D791</f>
        <v>59954</v>
      </c>
      <c r="BF791" s="66"/>
      <c r="BG791" s="144">
        <f t="shared" ref="BG791" si="2842">+BE791/BA791</f>
        <v>8.4713455894716461E-2</v>
      </c>
      <c r="BH791" s="66"/>
      <c r="BI791" s="170"/>
      <c r="BJ791" s="66"/>
      <c r="BK791" s="66"/>
      <c r="BL791" s="66"/>
      <c r="BM791" s="144"/>
      <c r="BN791" s="65">
        <f t="shared" ref="BN791" si="2843">+BC791/BW791</f>
        <v>1296138.9181585677</v>
      </c>
      <c r="BO791" s="66"/>
      <c r="BP791" s="66">
        <f t="shared" ref="BP791" si="2844">+BP790+BE791</f>
        <v>72301576</v>
      </c>
      <c r="BQ791" s="66"/>
      <c r="BR791" s="435">
        <f t="shared" ref="BR791" si="2845">+BP791/BC791</f>
        <v>7.1332830930942989E-2</v>
      </c>
      <c r="BS791" s="66"/>
      <c r="BT791" s="75"/>
      <c r="BU791" s="170"/>
      <c r="BV791" s="1"/>
      <c r="BW791" s="61">
        <f t="shared" si="1544"/>
        <v>782</v>
      </c>
      <c r="BY791" s="56"/>
      <c r="BZ791" s="1"/>
      <c r="CA791" s="61"/>
    </row>
    <row r="792" spans="2:79" x14ac:dyDescent="0.3">
      <c r="B792" s="158">
        <f t="shared" si="2425"/>
        <v>44692</v>
      </c>
      <c r="C792" s="61"/>
      <c r="D792" s="17">
        <v>87953</v>
      </c>
      <c r="E792" s="16"/>
      <c r="F792" s="16"/>
      <c r="G792" s="16"/>
      <c r="H792" s="16">
        <f t="shared" ref="H792" si="2846">+H791+D792</f>
        <v>73296507</v>
      </c>
      <c r="I792" s="16"/>
      <c r="J792" s="436">
        <f t="shared" ref="J792" si="2847">+D792/H791</f>
        <v>1.201403322349462E-3</v>
      </c>
      <c r="K792" s="16"/>
      <c r="L792" s="16"/>
      <c r="M792" s="16"/>
      <c r="N792" s="16">
        <f t="shared" ref="N792" si="2848">SUM(D786:D792)</f>
        <v>397773</v>
      </c>
      <c r="O792" s="16">
        <f t="shared" ref="O792" si="2849">+H792/BW792</f>
        <v>93609.842911877393</v>
      </c>
      <c r="P792" s="41"/>
      <c r="Q792" s="17">
        <f t="shared" ref="Q792" si="2850">SUM(D786:D792)</f>
        <v>397773</v>
      </c>
      <c r="R792" s="16"/>
      <c r="S792" s="60">
        <f t="shared" ref="S792" si="2851">+(Q792-Q785)/Q785</f>
        <v>0.14976919230313418</v>
      </c>
      <c r="T792" s="16"/>
      <c r="U792" s="41"/>
      <c r="V792" s="10">
        <f t="shared" si="558"/>
        <v>684</v>
      </c>
      <c r="W792" s="34">
        <v>226</v>
      </c>
      <c r="X792" s="33">
        <v>4256</v>
      </c>
      <c r="Y792" s="33"/>
      <c r="Z792" s="33">
        <f t="shared" ref="Z792" si="2852">SUM(W787:W792)</f>
        <v>1029</v>
      </c>
      <c r="AA792" s="33">
        <f t="shared" ref="AA792" si="2853">+AA791+W792</f>
        <v>893982</v>
      </c>
      <c r="AB792" s="33"/>
      <c r="AC792" s="46">
        <f t="shared" ref="AC792" si="2854">+AA792/H792</f>
        <v>1.2196788586391982E-2</v>
      </c>
      <c r="AD792" s="33"/>
      <c r="AE792" s="33">
        <f t="shared" ref="AE792" si="2855">+AA792/BW792</f>
        <v>1141.7394636015326</v>
      </c>
      <c r="AF792" s="50"/>
      <c r="AG792" s="33"/>
      <c r="AH792" s="33"/>
      <c r="AI792" s="213"/>
      <c r="AJ792" s="50"/>
      <c r="AL792" s="23">
        <f t="shared" ref="AL792" si="2856">+AP792-AP791</f>
        <v>48203</v>
      </c>
      <c r="AM792" s="24"/>
      <c r="AN792" s="24"/>
      <c r="AO792" s="24">
        <v>178263</v>
      </c>
      <c r="AP792" s="24">
        <v>81107296</v>
      </c>
      <c r="AQ792" s="24">
        <v>20336656</v>
      </c>
      <c r="AR792" s="461">
        <f t="shared" ref="AR792" si="2857">+AL792/AP791</f>
        <v>5.9466493166904796E-4</v>
      </c>
      <c r="AS792" s="25"/>
      <c r="AT792" s="25"/>
      <c r="AU792" s="24"/>
      <c r="AV792" s="298">
        <f t="shared" ref="AV792" si="2858">+AP792/H792</f>
        <v>1.1065642732470184</v>
      </c>
      <c r="AW792" s="298"/>
      <c r="AX792" s="24">
        <f t="shared" ref="AX792" si="2859">+AP792/BW792</f>
        <v>103585.30779054917</v>
      </c>
      <c r="AY792" s="308"/>
      <c r="BA792" s="65">
        <f t="shared" ref="BA792" si="2860">+BC792-BC791</f>
        <v>1160634</v>
      </c>
      <c r="BB792" s="66"/>
      <c r="BC792" s="66">
        <v>1014741268</v>
      </c>
      <c r="BD792" s="66"/>
      <c r="BE792" s="66">
        <f t="shared" ref="BE792" si="2861">+D792</f>
        <v>87953</v>
      </c>
      <c r="BF792" s="66"/>
      <c r="BG792" s="144">
        <f t="shared" ref="BG792" si="2862">+BE792/BA792</f>
        <v>7.5780133961265997E-2</v>
      </c>
      <c r="BH792" s="66"/>
      <c r="BI792" s="170"/>
      <c r="BJ792" s="66"/>
      <c r="BK792" s="66"/>
      <c r="BL792" s="66"/>
      <c r="BM792" s="144"/>
      <c r="BN792" s="65">
        <f t="shared" ref="BN792" si="2863">+BC792/BW792</f>
        <v>1295965.8595146872</v>
      </c>
      <c r="BO792" s="66"/>
      <c r="BP792" s="66">
        <f t="shared" ref="BP792" si="2864">+BP791+BE792</f>
        <v>72389529</v>
      </c>
      <c r="BQ792" s="66"/>
      <c r="BR792" s="435">
        <f t="shared" ref="BR792" si="2865">+BP792/BC792</f>
        <v>7.1337917637543047E-2</v>
      </c>
      <c r="BS792" s="66"/>
      <c r="BT792" s="75"/>
      <c r="BU792" s="170"/>
      <c r="BV792" s="1"/>
      <c r="BW792" s="61">
        <f t="shared" si="1544"/>
        <v>783</v>
      </c>
      <c r="BY792" s="56"/>
      <c r="BZ792" s="1"/>
      <c r="CA792" s="61"/>
    </row>
    <row r="793" spans="2:79" x14ac:dyDescent="0.3">
      <c r="B793" s="158">
        <f t="shared" si="2425"/>
        <v>44693</v>
      </c>
      <c r="C793" s="61"/>
      <c r="D793" s="17">
        <v>85830</v>
      </c>
      <c r="E793" s="16"/>
      <c r="F793" s="16"/>
      <c r="G793" s="16"/>
      <c r="H793" s="16">
        <f t="shared" ref="H793" si="2866">+H792+D793</f>
        <v>73382337</v>
      </c>
      <c r="I793" s="16"/>
      <c r="J793" s="436">
        <f t="shared" ref="J793" si="2867">+D793/H792</f>
        <v>1.170997139058755E-3</v>
      </c>
      <c r="K793" s="16"/>
      <c r="L793" s="16"/>
      <c r="M793" s="16"/>
      <c r="N793" s="16">
        <f t="shared" ref="N793" si="2868">SUM(D787:D793)</f>
        <v>416992</v>
      </c>
      <c r="O793" s="16">
        <f t="shared" ref="O793" si="2869">+H793/BW793</f>
        <v>93599.919642857145</v>
      </c>
      <c r="P793" s="41"/>
      <c r="Q793" s="17">
        <f t="shared" ref="Q793" si="2870">SUM(D787:D793)</f>
        <v>416992</v>
      </c>
      <c r="R793" s="16"/>
      <c r="S793" s="60">
        <f t="shared" ref="S793" si="2871">+(Q793-Q786)/Q786</f>
        <v>0.20126985590246768</v>
      </c>
      <c r="T793" s="16"/>
      <c r="U793" s="41"/>
      <c r="V793" s="10">
        <f t="shared" si="558"/>
        <v>685</v>
      </c>
      <c r="W793" s="34">
        <v>222</v>
      </c>
      <c r="X793" s="33">
        <v>4256</v>
      </c>
      <c r="Y793" s="33"/>
      <c r="Z793" s="33">
        <f t="shared" ref="Z793" si="2872">SUM(W788:W793)</f>
        <v>960</v>
      </c>
      <c r="AA793" s="33">
        <f t="shared" ref="AA793" si="2873">+AA792+W793</f>
        <v>894204</v>
      </c>
      <c r="AB793" s="33"/>
      <c r="AC793" s="46">
        <f t="shared" ref="AC793" si="2874">+AA793/H793</f>
        <v>1.2185548138103042E-2</v>
      </c>
      <c r="AD793" s="33"/>
      <c r="AE793" s="33">
        <f t="shared" ref="AE793" si="2875">+AA793/BW793</f>
        <v>1140.5663265306123</v>
      </c>
      <c r="AF793" s="50"/>
      <c r="AG793" s="33"/>
      <c r="AH793" s="33"/>
      <c r="AI793" s="213"/>
      <c r="AJ793" s="50"/>
      <c r="AL793" s="23">
        <f t="shared" ref="AL793" si="2876">+AP793-AP792</f>
        <v>56393</v>
      </c>
      <c r="AM793" s="24"/>
      <c r="AN793" s="24"/>
      <c r="AO793" s="24">
        <v>178263</v>
      </c>
      <c r="AP793" s="24">
        <v>81163689</v>
      </c>
      <c r="AQ793" s="24">
        <v>20336656</v>
      </c>
      <c r="AR793" s="461">
        <f t="shared" ref="AR793" si="2877">+AL793/AP792</f>
        <v>6.9528886772405782E-4</v>
      </c>
      <c r="AS793" s="25"/>
      <c r="AT793" s="25"/>
      <c r="AU793" s="24"/>
      <c r="AV793" s="298">
        <f t="shared" ref="AV793" si="2878">+AP793/H793</f>
        <v>1.106038487163471</v>
      </c>
      <c r="AW793" s="298"/>
      <c r="AX793" s="24">
        <f t="shared" ref="AX793" si="2879">+AP793/BW793</f>
        <v>103525.11352040817</v>
      </c>
      <c r="AY793" s="308"/>
      <c r="BA793" s="65">
        <f t="shared" ref="BA793" si="2880">+BC793-BC792</f>
        <v>523852</v>
      </c>
      <c r="BB793" s="66"/>
      <c r="BC793" s="66">
        <v>1015265120</v>
      </c>
      <c r="BD793" s="66"/>
      <c r="BE793" s="66">
        <f t="shared" ref="BE793" si="2881">+D793</f>
        <v>85830</v>
      </c>
      <c r="BF793" s="66"/>
      <c r="BG793" s="144">
        <f t="shared" ref="BG793" si="2882">+BE793/BA793</f>
        <v>0.16384398646946083</v>
      </c>
      <c r="BH793" s="66"/>
      <c r="BI793" s="170"/>
      <c r="BJ793" s="66"/>
      <c r="BK793" s="66"/>
      <c r="BL793" s="66"/>
      <c r="BM793" s="144"/>
      <c r="BN793" s="65">
        <f t="shared" ref="BN793" si="2883">+BC793/BW793</f>
        <v>1294981.0204081633</v>
      </c>
      <c r="BO793" s="66"/>
      <c r="BP793" s="66">
        <f t="shared" ref="BP793" si="2884">+BP792+BE793</f>
        <v>72475359</v>
      </c>
      <c r="BQ793" s="66"/>
      <c r="BR793" s="435">
        <f t="shared" ref="BR793" si="2885">+BP793/BC793</f>
        <v>7.1385648509228808E-2</v>
      </c>
      <c r="BS793" s="66"/>
      <c r="BT793" s="75"/>
      <c r="BU793" s="170"/>
      <c r="BV793" s="1"/>
      <c r="BW793" s="61">
        <f t="shared" si="1544"/>
        <v>784</v>
      </c>
      <c r="BY793" s="56"/>
      <c r="BZ793" s="1"/>
      <c r="CA793" s="61"/>
    </row>
    <row r="794" spans="2:79" x14ac:dyDescent="0.3">
      <c r="B794" s="158">
        <f t="shared" si="2425"/>
        <v>44694</v>
      </c>
      <c r="C794" s="61"/>
      <c r="D794" s="17">
        <v>87595</v>
      </c>
      <c r="E794" s="16"/>
      <c r="F794" s="16"/>
      <c r="G794" s="16"/>
      <c r="H794" s="16">
        <f t="shared" ref="H794" si="2886">+H793+D794</f>
        <v>73469932</v>
      </c>
      <c r="I794" s="16"/>
      <c r="J794" s="436">
        <f t="shared" ref="J794" si="2887">+D794/H793</f>
        <v>1.1936796180257929E-3</v>
      </c>
      <c r="K794" s="16"/>
      <c r="L794" s="16"/>
      <c r="M794" s="16"/>
      <c r="N794" s="16">
        <f t="shared" ref="N794" si="2888">SUM(D788:D794)</f>
        <v>427471</v>
      </c>
      <c r="O794" s="16">
        <f t="shared" ref="O794" si="2889">+H794/BW794</f>
        <v>93592.270063694261</v>
      </c>
      <c r="P794" s="41"/>
      <c r="Q794" s="17">
        <f t="shared" ref="Q794" si="2890">SUM(D788:D794)</f>
        <v>427471</v>
      </c>
      <c r="R794" s="16"/>
      <c r="S794" s="60">
        <f t="shared" ref="S794" si="2891">+(Q794-Q787)/Q787</f>
        <v>0.18331400225329345</v>
      </c>
      <c r="T794" s="16"/>
      <c r="U794" s="41"/>
      <c r="V794" s="10">
        <f t="shared" si="558"/>
        <v>686</v>
      </c>
      <c r="W794" s="34">
        <v>272</v>
      </c>
      <c r="X794" s="33">
        <v>4256</v>
      </c>
      <c r="Y794" s="33"/>
      <c r="Z794" s="33">
        <f t="shared" ref="Z794" si="2892">SUM(W789:W794)</f>
        <v>1145</v>
      </c>
      <c r="AA794" s="33">
        <f t="shared" ref="AA794" si="2893">+AA793+W794</f>
        <v>894476</v>
      </c>
      <c r="AB794" s="33"/>
      <c r="AC794" s="46">
        <f t="shared" ref="AC794" si="2894">+AA794/H794</f>
        <v>1.2174722034586884E-2</v>
      </c>
      <c r="AD794" s="33"/>
      <c r="AE794" s="33">
        <f t="shared" ref="AE794" si="2895">+AA794/BW794</f>
        <v>1139.459872611465</v>
      </c>
      <c r="AF794" s="50"/>
      <c r="AG794" s="33"/>
      <c r="AH794" s="33"/>
      <c r="AI794" s="213"/>
      <c r="AJ794" s="50"/>
      <c r="AL794" s="23">
        <f t="shared" ref="AL794" si="2896">+AP794-AP793</f>
        <v>41245</v>
      </c>
      <c r="AM794" s="24"/>
      <c r="AN794" s="24"/>
      <c r="AO794" s="24">
        <v>178263</v>
      </c>
      <c r="AP794" s="24">
        <v>81204934</v>
      </c>
      <c r="AQ794" s="24">
        <v>20336656</v>
      </c>
      <c r="AR794" s="461">
        <f t="shared" ref="AR794" si="2897">+AL794/AP793</f>
        <v>5.0817059337950987E-4</v>
      </c>
      <c r="AS794" s="25"/>
      <c r="AT794" s="25"/>
      <c r="AU794" s="24"/>
      <c r="AV794" s="298">
        <f t="shared" ref="AV794" si="2898">+AP794/H794</f>
        <v>1.1052811917669938</v>
      </c>
      <c r="AW794" s="298"/>
      <c r="AX794" s="24">
        <f t="shared" ref="AX794" si="2899">+AP794/BW794</f>
        <v>103445.77579617835</v>
      </c>
      <c r="AY794" s="308"/>
      <c r="BA794" s="65">
        <f t="shared" ref="BA794" si="2900">+BC794-BC793</f>
        <v>1387299</v>
      </c>
      <c r="BB794" s="66"/>
      <c r="BC794" s="66">
        <v>1016652419</v>
      </c>
      <c r="BD794" s="66"/>
      <c r="BE794" s="66">
        <f t="shared" ref="BE794" si="2901">+D794</f>
        <v>87595</v>
      </c>
      <c r="BF794" s="66"/>
      <c r="BG794" s="144">
        <f t="shared" ref="BG794" si="2902">+BE794/BA794</f>
        <v>6.3140678397375041E-2</v>
      </c>
      <c r="BH794" s="66"/>
      <c r="BI794" s="170"/>
      <c r="BJ794" s="66"/>
      <c r="BK794" s="66"/>
      <c r="BL794" s="66"/>
      <c r="BM794" s="144"/>
      <c r="BN794" s="65">
        <f t="shared" ref="BN794" si="2903">+BC794/BW794</f>
        <v>1295098.6229299363</v>
      </c>
      <c r="BO794" s="66"/>
      <c r="BP794" s="66">
        <f t="shared" ref="BP794" si="2904">+BP793+BE794</f>
        <v>72562954</v>
      </c>
      <c r="BQ794" s="66"/>
      <c r="BR794" s="435">
        <f t="shared" ref="BR794" si="2905">+BP794/BC794</f>
        <v>7.1374397624877933E-2</v>
      </c>
      <c r="BS794" s="66"/>
      <c r="BT794" s="75"/>
      <c r="BU794" s="170"/>
      <c r="BV794" s="1"/>
      <c r="BW794" s="61">
        <f t="shared" si="1544"/>
        <v>785</v>
      </c>
      <c r="BY794" s="56"/>
      <c r="BZ794" s="1"/>
      <c r="CA794" s="61"/>
    </row>
    <row r="795" spans="2:79" x14ac:dyDescent="0.3">
      <c r="B795" s="158">
        <f t="shared" si="2425"/>
        <v>44695</v>
      </c>
      <c r="C795" s="61"/>
      <c r="D795" s="17">
        <v>26740</v>
      </c>
      <c r="E795" s="16"/>
      <c r="F795" s="16"/>
      <c r="G795" s="16"/>
      <c r="H795" s="16">
        <f t="shared" ref="H795" si="2906">+H794+D795</f>
        <v>73496672</v>
      </c>
      <c r="I795" s="16"/>
      <c r="J795" s="436">
        <f t="shared" ref="J795" si="2907">+D795/H794</f>
        <v>3.6395841498805255E-4</v>
      </c>
      <c r="K795" s="16"/>
      <c r="L795" s="16"/>
      <c r="M795" s="16"/>
      <c r="N795" s="16">
        <f t="shared" ref="N795" si="2908">SUM(D789:D795)</f>
        <v>423068</v>
      </c>
      <c r="O795" s="16">
        <f t="shared" ref="O795" si="2909">+H795/BW795</f>
        <v>93507.216284987284</v>
      </c>
      <c r="P795" s="41"/>
      <c r="Q795" s="17">
        <f t="shared" ref="Q795" si="2910">SUM(D789:D795)</f>
        <v>423068</v>
      </c>
      <c r="R795" s="16"/>
      <c r="S795" s="60">
        <f t="shared" ref="S795" si="2911">+(Q795-Q788)/Q788</f>
        <v>0.15076392458947724</v>
      </c>
      <c r="T795" s="16"/>
      <c r="U795" s="41"/>
      <c r="V795" s="10">
        <f t="shared" si="558"/>
        <v>687</v>
      </c>
      <c r="W795" s="34">
        <v>56</v>
      </c>
      <c r="X795" s="33">
        <v>4256</v>
      </c>
      <c r="Y795" s="33"/>
      <c r="Z795" s="33">
        <f t="shared" ref="Z795" si="2912">SUM(W790:W795)</f>
        <v>1180</v>
      </c>
      <c r="AA795" s="33">
        <f t="shared" ref="AA795" si="2913">+AA794+W795</f>
        <v>894532</v>
      </c>
      <c r="AB795" s="33"/>
      <c r="AC795" s="46">
        <f t="shared" ref="AC795" si="2914">+AA795/H795</f>
        <v>1.2171054493460601E-2</v>
      </c>
      <c r="AD795" s="33"/>
      <c r="AE795" s="33">
        <f t="shared" ref="AE795" si="2915">+AA795/BW795</f>
        <v>1138.0814249363868</v>
      </c>
      <c r="AF795" s="50"/>
      <c r="AG795" s="33"/>
      <c r="AH795" s="33"/>
      <c r="AI795" s="213"/>
      <c r="AJ795" s="50"/>
      <c r="AL795" s="23">
        <f t="shared" ref="AL795" si="2916">+AP795-AP794</f>
        <v>39326</v>
      </c>
      <c r="AM795" s="24"/>
      <c r="AN795" s="24"/>
      <c r="AO795" s="24">
        <v>178263</v>
      </c>
      <c r="AP795" s="24">
        <v>81244260</v>
      </c>
      <c r="AQ795" s="24">
        <v>20336656</v>
      </c>
      <c r="AR795" s="461">
        <f t="shared" ref="AR795" si="2917">+AL795/AP794</f>
        <v>4.8428091820134966E-4</v>
      </c>
      <c r="AS795" s="25"/>
      <c r="AT795" s="25"/>
      <c r="AU795" s="24"/>
      <c r="AV795" s="298">
        <f t="shared" ref="AV795" si="2918">+AP795/H795</f>
        <v>1.1054141335814498</v>
      </c>
      <c r="AW795" s="298"/>
      <c r="AX795" s="24">
        <f t="shared" ref="AX795" si="2919">+AP795/BW795</f>
        <v>103364.19847328245</v>
      </c>
      <c r="AY795" s="308"/>
      <c r="BA795" s="65">
        <f t="shared" ref="BA795" si="2920">+BC795-BC794</f>
        <v>230086</v>
      </c>
      <c r="BB795" s="66"/>
      <c r="BC795" s="66">
        <v>1016882505</v>
      </c>
      <c r="BD795" s="66"/>
      <c r="BE795" s="66">
        <f t="shared" ref="BE795" si="2921">+D795</f>
        <v>26740</v>
      </c>
      <c r="BF795" s="66"/>
      <c r="BG795" s="144">
        <f t="shared" ref="BG795" si="2922">+BE795/BA795</f>
        <v>0.11621741435810957</v>
      </c>
      <c r="BH795" s="66"/>
      <c r="BI795" s="170"/>
      <c r="BJ795" s="66"/>
      <c r="BK795" s="66"/>
      <c r="BL795" s="66"/>
      <c r="BM795" s="144"/>
      <c r="BN795" s="65">
        <f t="shared" ref="BN795" si="2923">+BC795/BW795</f>
        <v>1293743.6450381679</v>
      </c>
      <c r="BO795" s="66"/>
      <c r="BP795" s="66">
        <f t="shared" ref="BP795" si="2924">+BP794+BE795</f>
        <v>72589694</v>
      </c>
      <c r="BQ795" s="66"/>
      <c r="BR795" s="435">
        <f t="shared" ref="BR795" si="2925">+BP795/BC795</f>
        <v>7.1384544077685755E-2</v>
      </c>
      <c r="BS795" s="66"/>
      <c r="BT795" s="75"/>
      <c r="BU795" s="170"/>
      <c r="BV795" s="1"/>
      <c r="BW795" s="61">
        <f t="shared" si="1544"/>
        <v>786</v>
      </c>
      <c r="BY795" s="56"/>
      <c r="BZ795" s="1"/>
      <c r="CA795" s="61"/>
    </row>
    <row r="796" spans="2:79" x14ac:dyDescent="0.3">
      <c r="B796" s="347">
        <f t="shared" si="2425"/>
        <v>44696</v>
      </c>
      <c r="C796" s="61"/>
      <c r="D796" s="17">
        <v>21356</v>
      </c>
      <c r="E796" s="16"/>
      <c r="F796" s="16"/>
      <c r="G796" s="16"/>
      <c r="H796" s="16">
        <f t="shared" ref="H796" si="2926">+H795+D796</f>
        <v>73518028</v>
      </c>
      <c r="I796" s="16"/>
      <c r="J796" s="436">
        <f t="shared" ref="J796" si="2927">+D796/H795</f>
        <v>2.9057097986695237E-4</v>
      </c>
      <c r="K796" s="16"/>
      <c r="L796" s="16"/>
      <c r="M796" s="16"/>
      <c r="N796" s="16">
        <f t="shared" ref="N796" si="2928">SUM(D790:D796)</f>
        <v>430416</v>
      </c>
      <c r="O796" s="16">
        <f t="shared" ref="O796" si="2929">+H796/BW796</f>
        <v>93415.537484116896</v>
      </c>
      <c r="P796" s="41"/>
      <c r="Q796" s="17">
        <f t="shared" ref="Q796" si="2930">SUM(D790:D796)</f>
        <v>430416</v>
      </c>
      <c r="R796" s="16"/>
      <c r="S796" s="60">
        <f t="shared" ref="S796" si="2931">+(Q796-Q789)/Q789</f>
        <v>0.1776377530500067</v>
      </c>
      <c r="T796" s="16"/>
      <c r="U796" s="41"/>
      <c r="V796" s="10">
        <f t="shared" si="558"/>
        <v>688</v>
      </c>
      <c r="W796" s="34">
        <v>24</v>
      </c>
      <c r="X796" s="33">
        <v>4256</v>
      </c>
      <c r="Y796" s="33"/>
      <c r="Z796" s="33">
        <f t="shared" ref="Z796" si="2932">SUM(W791:W796)</f>
        <v>1079</v>
      </c>
      <c r="AA796" s="33">
        <f t="shared" ref="AA796" si="2933">+AA795+W796</f>
        <v>894556</v>
      </c>
      <c r="AB796" s="33"/>
      <c r="AC796" s="46">
        <f t="shared" ref="AC796" si="2934">+AA796/H796</f>
        <v>1.2167845416093044E-2</v>
      </c>
      <c r="AD796" s="33"/>
      <c r="AE796" s="33">
        <f t="shared" ref="AE796" si="2935">+AA796/BW796</f>
        <v>1136.6658195679797</v>
      </c>
      <c r="AF796" s="50"/>
      <c r="AG796" s="33"/>
      <c r="AH796" s="33"/>
      <c r="AI796" s="213"/>
      <c r="AJ796" s="50"/>
      <c r="AL796" s="23">
        <f t="shared" ref="AL796" si="2936">+AP796-AP795</f>
        <v>38704</v>
      </c>
      <c r="AM796" s="24"/>
      <c r="AN796" s="24"/>
      <c r="AO796" s="24">
        <v>178263</v>
      </c>
      <c r="AP796" s="24">
        <v>81282964</v>
      </c>
      <c r="AQ796" s="24">
        <v>20336656</v>
      </c>
      <c r="AR796" s="461">
        <f t="shared" ref="AR796" si="2937">+AL796/AP795</f>
        <v>4.7639057823900419E-4</v>
      </c>
      <c r="AS796" s="25"/>
      <c r="AT796" s="25"/>
      <c r="AU796" s="24"/>
      <c r="AV796" s="298">
        <f t="shared" ref="AV796" si="2938">+AP796/H796</f>
        <v>1.105619481523634</v>
      </c>
      <c r="AW796" s="298"/>
      <c r="AX796" s="24">
        <f t="shared" ref="AX796" si="2939">+AP796/BW796</f>
        <v>103282.03811944091</v>
      </c>
      <c r="AY796" s="308"/>
      <c r="BA796" s="65">
        <f t="shared" ref="BA796" si="2940">+BC796-BC795</f>
        <v>142389</v>
      </c>
      <c r="BB796" s="66"/>
      <c r="BC796" s="66">
        <v>1017024894</v>
      </c>
      <c r="BD796" s="66"/>
      <c r="BE796" s="66">
        <f t="shared" ref="BE796" si="2941">+D796</f>
        <v>21356</v>
      </c>
      <c r="BF796" s="66"/>
      <c r="BG796" s="144">
        <f t="shared" ref="BG796" si="2942">+BE796/BA796</f>
        <v>0.14998349591611712</v>
      </c>
      <c r="BH796" s="66"/>
      <c r="BI796" s="170"/>
      <c r="BJ796" s="66"/>
      <c r="BK796" s="66"/>
      <c r="BL796" s="66"/>
      <c r="BM796" s="144"/>
      <c r="BN796" s="65">
        <f t="shared" ref="BN796" si="2943">+BC796/BW796</f>
        <v>1292280.6785260483</v>
      </c>
      <c r="BO796" s="66"/>
      <c r="BP796" s="66">
        <f t="shared" ref="BP796" si="2944">+BP795+BE796</f>
        <v>72611050</v>
      </c>
      <c r="BQ796" s="66"/>
      <c r="BR796" s="435">
        <f t="shared" ref="BR796" si="2945">+BP796/BC796</f>
        <v>7.139554835714769E-2</v>
      </c>
      <c r="BS796" s="66"/>
      <c r="BT796" s="75"/>
      <c r="BU796" s="170"/>
      <c r="BV796" s="1"/>
      <c r="BW796" s="61">
        <f t="shared" si="1544"/>
        <v>787</v>
      </c>
      <c r="BY796" s="56"/>
      <c r="BZ796" s="1"/>
      <c r="CA796" s="61"/>
    </row>
    <row r="797" spans="2:79" x14ac:dyDescent="0.3">
      <c r="B797" s="158">
        <f t="shared" si="2425"/>
        <v>44697</v>
      </c>
      <c r="C797" s="61"/>
      <c r="D797" s="17">
        <v>64933</v>
      </c>
      <c r="E797" s="16"/>
      <c r="F797" s="16"/>
      <c r="G797" s="16"/>
      <c r="H797" s="16">
        <f t="shared" ref="H797" si="2946">+H796+D797</f>
        <v>73582961</v>
      </c>
      <c r="I797" s="16"/>
      <c r="J797" s="436">
        <f t="shared" ref="J797" si="2947">+D797/H796</f>
        <v>8.8322554027156443E-4</v>
      </c>
      <c r="K797" s="16"/>
      <c r="L797" s="16"/>
      <c r="M797" s="16"/>
      <c r="N797" s="16">
        <f t="shared" ref="N797" si="2948">SUM(D791:D797)</f>
        <v>434361</v>
      </c>
      <c r="O797" s="16">
        <f t="shared" ref="O797" si="2949">+H797/BW797</f>
        <v>93379.392131979694</v>
      </c>
      <c r="P797" s="41"/>
      <c r="Q797" s="17">
        <f t="shared" ref="Q797" si="2950">SUM(D791:D797)</f>
        <v>434361</v>
      </c>
      <c r="R797" s="16"/>
      <c r="S797" s="60">
        <f t="shared" ref="S797" si="2951">+(Q797-Q790)/Q790</f>
        <v>0.12617741998211021</v>
      </c>
      <c r="T797" s="16"/>
      <c r="U797" s="41"/>
      <c r="V797" s="10">
        <f t="shared" si="558"/>
        <v>689</v>
      </c>
      <c r="W797" s="34">
        <v>107</v>
      </c>
      <c r="X797" s="33">
        <v>4256</v>
      </c>
      <c r="Y797" s="33"/>
      <c r="Z797" s="33">
        <f t="shared" ref="Z797" si="2952">SUM(W792:W797)</f>
        <v>907</v>
      </c>
      <c r="AA797" s="33">
        <f t="shared" ref="AA797" si="2953">+AA796+W797</f>
        <v>894663</v>
      </c>
      <c r="AB797" s="33"/>
      <c r="AC797" s="46">
        <f t="shared" ref="AC797" si="2954">+AA797/H797</f>
        <v>1.2158562088850978E-2</v>
      </c>
      <c r="AD797" s="33"/>
      <c r="AE797" s="33">
        <f t="shared" ref="AE797" si="2955">+AA797/BW797</f>
        <v>1135.3591370558377</v>
      </c>
      <c r="AF797" s="50"/>
      <c r="AG797" s="33"/>
      <c r="AH797" s="33"/>
      <c r="AI797" s="213"/>
      <c r="AJ797" s="50"/>
      <c r="AL797" s="23">
        <f t="shared" ref="AL797" si="2956">+AP797-AP796</f>
        <v>44167</v>
      </c>
      <c r="AM797" s="24"/>
      <c r="AN797" s="24"/>
      <c r="AO797" s="24">
        <v>178263</v>
      </c>
      <c r="AP797" s="24">
        <v>81327131</v>
      </c>
      <c r="AQ797" s="24">
        <v>20336656</v>
      </c>
      <c r="AR797" s="461">
        <f t="shared" ref="AR797" si="2957">+AL797/AP796</f>
        <v>5.4337339371630195E-4</v>
      </c>
      <c r="AS797" s="25"/>
      <c r="AT797" s="25"/>
      <c r="AU797" s="24"/>
      <c r="AV797" s="298">
        <f t="shared" ref="AV797" si="2958">+AP797/H797</f>
        <v>1.1052440659461911</v>
      </c>
      <c r="AW797" s="298"/>
      <c r="AX797" s="24">
        <f t="shared" ref="AX797" si="2959">+AP797/BW797</f>
        <v>103207.019035533</v>
      </c>
      <c r="AY797" s="308"/>
      <c r="BA797" s="65">
        <f t="shared" ref="BA797" si="2960">+BC797-BC796</f>
        <v>625649</v>
      </c>
      <c r="BB797" s="66"/>
      <c r="BC797" s="66">
        <v>1017650543</v>
      </c>
      <c r="BD797" s="66"/>
      <c r="BE797" s="66">
        <f t="shared" ref="BE797" si="2961">+D797</f>
        <v>64933</v>
      </c>
      <c r="BF797" s="66"/>
      <c r="BG797" s="144">
        <f t="shared" ref="BG797" si="2962">+BE797/BA797</f>
        <v>0.10378502962523715</v>
      </c>
      <c r="BH797" s="66"/>
      <c r="BI797" s="170"/>
      <c r="BJ797" s="66"/>
      <c r="BK797" s="66"/>
      <c r="BL797" s="66"/>
      <c r="BM797" s="144"/>
      <c r="BN797" s="65">
        <f t="shared" ref="BN797" si="2963">+BC797/BW797</f>
        <v>1291434.6992385788</v>
      </c>
      <c r="BO797" s="66"/>
      <c r="BP797" s="66">
        <f t="shared" ref="BP797" si="2964">+BP796+BE797</f>
        <v>72675983</v>
      </c>
      <c r="BQ797" s="66"/>
      <c r="BR797" s="435">
        <f t="shared" ref="BR797" si="2965">+BP797/BC797</f>
        <v>7.1415461328948562E-2</v>
      </c>
      <c r="BS797" s="66"/>
      <c r="BT797" s="75"/>
      <c r="BU797" s="170"/>
      <c r="BV797" s="1"/>
      <c r="BW797" s="61">
        <f t="shared" si="1544"/>
        <v>788</v>
      </c>
      <c r="BY797" s="56"/>
      <c r="BZ797" s="1"/>
      <c r="CA797" s="61"/>
    </row>
    <row r="798" spans="2:79" x14ac:dyDescent="0.3">
      <c r="B798" s="158">
        <f t="shared" si="2425"/>
        <v>44698</v>
      </c>
      <c r="C798" s="61"/>
      <c r="D798" s="17">
        <v>75368</v>
      </c>
      <c r="E798" s="16"/>
      <c r="F798" s="16"/>
      <c r="G798" s="16"/>
      <c r="H798" s="16">
        <f t="shared" ref="H798" si="2966">+H797+D798</f>
        <v>73658329</v>
      </c>
      <c r="I798" s="16"/>
      <c r="J798" s="436">
        <f t="shared" ref="J798" si="2967">+D798/H797</f>
        <v>1.0242588634072499E-3</v>
      </c>
      <c r="K798" s="16"/>
      <c r="L798" s="16"/>
      <c r="M798" s="16"/>
      <c r="N798" s="16">
        <f t="shared" ref="N798" si="2968">SUM(D792:D798)</f>
        <v>449775</v>
      </c>
      <c r="O798" s="16">
        <f t="shared" ref="O798" si="2969">+H798/BW798</f>
        <v>93356.564005069711</v>
      </c>
      <c r="P798" s="41"/>
      <c r="Q798" s="17">
        <f t="shared" ref="Q798" si="2970">SUM(D792:D798)</f>
        <v>449775</v>
      </c>
      <c r="R798" s="16"/>
      <c r="S798" s="60">
        <f t="shared" ref="S798" si="2971">+(Q798-Q791)/Q791</f>
        <v>0.178600066034621</v>
      </c>
      <c r="T798" s="16"/>
      <c r="U798" s="41"/>
      <c r="V798" s="10">
        <f t="shared" si="558"/>
        <v>690</v>
      </c>
      <c r="W798" s="34">
        <v>305</v>
      </c>
      <c r="X798" s="33">
        <v>4256</v>
      </c>
      <c r="Y798" s="33"/>
      <c r="Z798" s="33">
        <f t="shared" ref="Z798" si="2972">SUM(W793:W798)</f>
        <v>986</v>
      </c>
      <c r="AA798" s="33">
        <f t="shared" ref="AA798" si="2973">+AA797+W798</f>
        <v>894968</v>
      </c>
      <c r="AB798" s="33"/>
      <c r="AC798" s="46">
        <f t="shared" ref="AC798" si="2974">+AA798/H798</f>
        <v>1.2150262056582902E-2</v>
      </c>
      <c r="AD798" s="33"/>
      <c r="AE798" s="33">
        <f t="shared" ref="AE798" si="2975">+AA798/BW798</f>
        <v>1134.3067173637517</v>
      </c>
      <c r="AF798" s="50"/>
      <c r="AG798" s="33"/>
      <c r="AH798" s="33"/>
      <c r="AI798" s="213"/>
      <c r="AJ798" s="50"/>
      <c r="AL798" s="23">
        <f t="shared" ref="AL798" si="2976">+AP798-AP797</f>
        <v>53644</v>
      </c>
      <c r="AM798" s="24"/>
      <c r="AN798" s="24"/>
      <c r="AO798" s="24">
        <v>178263</v>
      </c>
      <c r="AP798" s="24">
        <v>81380775</v>
      </c>
      <c r="AQ798" s="24">
        <v>20336656</v>
      </c>
      <c r="AR798" s="461">
        <f t="shared" ref="AR798" si="2977">+AL798/AP797</f>
        <v>6.5960767754121312E-4</v>
      </c>
      <c r="AS798" s="25"/>
      <c r="AT798" s="25"/>
      <c r="AU798" s="24"/>
      <c r="AV798" s="298">
        <f t="shared" ref="AV798" si="2978">+AP798/H798</f>
        <v>1.1048414497700592</v>
      </c>
      <c r="AW798" s="298"/>
      <c r="AX798" s="24">
        <f t="shared" ref="AX798" si="2979">+AP798/BW798</f>
        <v>103144.20152091255</v>
      </c>
      <c r="AY798" s="308"/>
      <c r="BA798" s="65">
        <f t="shared" ref="BA798" si="2980">+BC798-BC797</f>
        <v>1581623</v>
      </c>
      <c r="BB798" s="66"/>
      <c r="BC798" s="66">
        <v>1019232166</v>
      </c>
      <c r="BD798" s="66"/>
      <c r="BE798" s="66">
        <f t="shared" ref="BE798" si="2981">+D798</f>
        <v>75368</v>
      </c>
      <c r="BF798" s="66"/>
      <c r="BG798" s="144">
        <f t="shared" ref="BG798" si="2982">+BE798/BA798</f>
        <v>4.7652316639300266E-2</v>
      </c>
      <c r="BH798" s="66"/>
      <c r="BI798" s="170"/>
      <c r="BJ798" s="66"/>
      <c r="BK798" s="66"/>
      <c r="BL798" s="66"/>
      <c r="BM798" s="144"/>
      <c r="BN798" s="65">
        <f t="shared" ref="BN798" si="2983">+BC798/BW798</f>
        <v>1291802.4917617238</v>
      </c>
      <c r="BO798" s="66"/>
      <c r="BP798" s="66">
        <f t="shared" ref="BP798" si="2984">+BP797+BE798</f>
        <v>72751351</v>
      </c>
      <c r="BQ798" s="66"/>
      <c r="BR798" s="435">
        <f t="shared" ref="BR798" si="2985">+BP798/BC798</f>
        <v>7.1378586181708087E-2</v>
      </c>
      <c r="BS798" s="66"/>
      <c r="BT798" s="75"/>
      <c r="BU798" s="170"/>
      <c r="BV798" s="1"/>
      <c r="BW798" s="61">
        <f t="shared" si="1544"/>
        <v>789</v>
      </c>
      <c r="BY798" s="56"/>
      <c r="BZ798" s="1"/>
      <c r="CA798" s="61"/>
    </row>
    <row r="799" spans="2:79" x14ac:dyDescent="0.3">
      <c r="B799" s="158">
        <f t="shared" si="2425"/>
        <v>44699</v>
      </c>
      <c r="C799" s="61"/>
      <c r="D799" s="17">
        <v>103958</v>
      </c>
      <c r="E799" s="16"/>
      <c r="F799" s="16"/>
      <c r="G799" s="16"/>
      <c r="H799" s="16">
        <f t="shared" ref="H799" si="2986">+H798+D799</f>
        <v>73762287</v>
      </c>
      <c r="I799" s="16"/>
      <c r="J799" s="436">
        <f t="shared" ref="J799" si="2987">+D799/H798</f>
        <v>1.4113543086213644E-3</v>
      </c>
      <c r="K799" s="16"/>
      <c r="L799" s="16"/>
      <c r="M799" s="16"/>
      <c r="N799" s="16">
        <f t="shared" ref="N799" si="2988">SUM(D793:D799)</f>
        <v>465780</v>
      </c>
      <c r="O799" s="16">
        <f t="shared" ref="O799" si="2989">+H799/BW799</f>
        <v>93369.983544303803</v>
      </c>
      <c r="P799" s="41"/>
      <c r="Q799" s="17">
        <f t="shared" ref="Q799" si="2990">SUM(D793:D799)</f>
        <v>465780</v>
      </c>
      <c r="R799" s="16"/>
      <c r="S799" s="60">
        <f t="shared" ref="S799" si="2991">+(Q799-Q792)/Q792</f>
        <v>0.17096937197849024</v>
      </c>
      <c r="T799" s="16"/>
      <c r="U799" s="41"/>
      <c r="V799" s="10">
        <f t="shared" si="558"/>
        <v>691</v>
      </c>
      <c r="W799" s="34">
        <v>273</v>
      </c>
      <c r="X799" s="33">
        <v>4256</v>
      </c>
      <c r="Y799" s="33"/>
      <c r="Z799" s="33">
        <f t="shared" ref="Z799" si="2992">SUM(W794:W799)</f>
        <v>1037</v>
      </c>
      <c r="AA799" s="33">
        <f t="shared" ref="AA799" si="2993">+AA798+W799</f>
        <v>895241</v>
      </c>
      <c r="AB799" s="33"/>
      <c r="AC799" s="46">
        <f t="shared" ref="AC799" si="2994">+AA799/H799</f>
        <v>1.2136838978433519E-2</v>
      </c>
      <c r="AD799" s="33"/>
      <c r="AE799" s="33">
        <f t="shared" ref="AE799" si="2995">+AA799/BW799</f>
        <v>1133.2164556962025</v>
      </c>
      <c r="AF799" s="50"/>
      <c r="AG799" s="33"/>
      <c r="AH799" s="33"/>
      <c r="AI799" s="213"/>
      <c r="AJ799" s="50"/>
      <c r="AL799" s="23">
        <f t="shared" ref="AL799" si="2996">+AP799-AP798</f>
        <v>57328</v>
      </c>
      <c r="AM799" s="24"/>
      <c r="AN799" s="24"/>
      <c r="AO799" s="24">
        <v>178263</v>
      </c>
      <c r="AP799" s="24">
        <v>81438103</v>
      </c>
      <c r="AQ799" s="24">
        <v>20336656</v>
      </c>
      <c r="AR799" s="461">
        <f t="shared" ref="AR799" si="2997">+AL799/AP798</f>
        <v>7.0444155883253752E-4</v>
      </c>
      <c r="AS799" s="25"/>
      <c r="AT799" s="25"/>
      <c r="AU799" s="24"/>
      <c r="AV799" s="298">
        <f t="shared" ref="AV799" si="2998">+AP799/H799</f>
        <v>1.1040615240142975</v>
      </c>
      <c r="AW799" s="298"/>
      <c r="AX799" s="24">
        <f t="shared" ref="AX799" si="2999">+AP799/BW799</f>
        <v>103086.20632911392</v>
      </c>
      <c r="AY799" s="308"/>
      <c r="BA799" s="65">
        <f t="shared" ref="BA799" si="3000">+BC799-BC798</f>
        <v>1083970</v>
      </c>
      <c r="BB799" s="66"/>
      <c r="BC799" s="66">
        <v>1020316136</v>
      </c>
      <c r="BD799" s="66"/>
      <c r="BE799" s="66">
        <f t="shared" ref="BE799" si="3001">+D799</f>
        <v>103958</v>
      </c>
      <c r="BF799" s="66"/>
      <c r="BG799" s="144">
        <f t="shared" ref="BG799" si="3002">+BE799/BA799</f>
        <v>9.590486821591003E-2</v>
      </c>
      <c r="BH799" s="66"/>
      <c r="BI799" s="170"/>
      <c r="BJ799" s="66"/>
      <c r="BK799" s="66"/>
      <c r="BL799" s="66"/>
      <c r="BM799" s="144"/>
      <c r="BN799" s="65">
        <f t="shared" ref="BN799" si="3003">+BC799/BW799</f>
        <v>1291539.4126582278</v>
      </c>
      <c r="BO799" s="66"/>
      <c r="BP799" s="66">
        <f t="shared" ref="BP799" si="3004">+BP798+BE799</f>
        <v>72855309</v>
      </c>
      <c r="BQ799" s="66"/>
      <c r="BR799" s="435">
        <f t="shared" ref="BR799" si="3005">+BP799/BC799</f>
        <v>7.1404642570506202E-2</v>
      </c>
      <c r="BS799" s="66"/>
      <c r="BT799" s="75"/>
      <c r="BU799" s="170"/>
      <c r="BV799" s="1"/>
      <c r="BW799" s="61">
        <f t="shared" si="1544"/>
        <v>790</v>
      </c>
      <c r="BY799" s="56"/>
      <c r="BZ799" s="1"/>
      <c r="CA799" s="61"/>
    </row>
    <row r="800" spans="2:79" x14ac:dyDescent="0.3">
      <c r="B800" s="158">
        <f t="shared" si="2425"/>
        <v>44700</v>
      </c>
      <c r="C800" s="61"/>
      <c r="D800" s="17">
        <v>109153</v>
      </c>
      <c r="E800" s="16"/>
      <c r="F800" s="16"/>
      <c r="G800" s="16"/>
      <c r="H800" s="16">
        <f t="shared" ref="H800" si="3006">+H799+D800</f>
        <v>73871440</v>
      </c>
      <c r="I800" s="16"/>
      <c r="J800" s="436">
        <f t="shared" ref="J800" si="3007">+D800/H799</f>
        <v>1.4797941392462519E-3</v>
      </c>
      <c r="K800" s="16"/>
      <c r="L800" s="16"/>
      <c r="M800" s="16"/>
      <c r="N800" s="16">
        <f t="shared" ref="N800" si="3008">SUM(D794:D800)</f>
        <v>489103</v>
      </c>
      <c r="O800" s="16">
        <f t="shared" ref="O800" si="3009">+H800/BW800</f>
        <v>93389.936788874838</v>
      </c>
      <c r="P800" s="41"/>
      <c r="Q800" s="17">
        <f t="shared" ref="Q800" si="3010">SUM(D794:D800)</f>
        <v>489103</v>
      </c>
      <c r="R800" s="16"/>
      <c r="S800" s="60">
        <f t="shared" ref="S800" si="3011">+(Q800-Q793)/Q793</f>
        <v>0.17293137518225768</v>
      </c>
      <c r="T800" s="16"/>
      <c r="U800" s="41"/>
      <c r="V800" s="10">
        <f t="shared" si="558"/>
        <v>692</v>
      </c>
      <c r="W800" s="34">
        <v>257</v>
      </c>
      <c r="X800" s="33">
        <v>4256</v>
      </c>
      <c r="Y800" s="33"/>
      <c r="Z800" s="33">
        <f t="shared" ref="Z800" si="3012">SUM(W795:W800)</f>
        <v>1022</v>
      </c>
      <c r="AA800" s="33">
        <f t="shared" ref="AA800" si="3013">+AA799+W800</f>
        <v>895498</v>
      </c>
      <c r="AB800" s="33"/>
      <c r="AC800" s="46">
        <f t="shared" ref="AC800" si="3014">+AA800/H800</f>
        <v>1.2122384510170642E-2</v>
      </c>
      <c r="AD800" s="33"/>
      <c r="AE800" s="33">
        <f t="shared" ref="AE800" si="3015">+AA800/BW800</f>
        <v>1132.1087231352717</v>
      </c>
      <c r="AF800" s="50"/>
      <c r="AG800" s="33"/>
      <c r="AH800" s="33"/>
      <c r="AI800" s="213"/>
      <c r="AJ800" s="50"/>
      <c r="AL800" s="23">
        <f t="shared" ref="AL800" si="3016">+AP800-AP799</f>
        <v>55339</v>
      </c>
      <c r="AM800" s="24"/>
      <c r="AN800" s="24"/>
      <c r="AO800" s="24">
        <v>178263</v>
      </c>
      <c r="AP800" s="24">
        <v>81493442</v>
      </c>
      <c r="AQ800" s="24">
        <v>20336656</v>
      </c>
      <c r="AR800" s="461">
        <f t="shared" ref="AR800" si="3017">+AL800/AP799</f>
        <v>6.7952221333053401E-4</v>
      </c>
      <c r="AS800" s="25"/>
      <c r="AT800" s="25"/>
      <c r="AU800" s="24"/>
      <c r="AV800" s="298">
        <f t="shared" ref="AV800" si="3018">+AP800/H800</f>
        <v>1.1031792801115019</v>
      </c>
      <c r="AW800" s="298"/>
      <c r="AX800" s="24">
        <f t="shared" ref="AX800" si="3019">+AP800/BW800</f>
        <v>103025.84323640961</v>
      </c>
      <c r="AY800" s="308"/>
      <c r="BA800" s="65">
        <f t="shared" ref="BA800" si="3020">+BC800-BC799</f>
        <v>556899</v>
      </c>
      <c r="BB800" s="66"/>
      <c r="BC800" s="66">
        <v>1020873035</v>
      </c>
      <c r="BD800" s="66"/>
      <c r="BE800" s="66">
        <f t="shared" ref="BE800" si="3021">+D800</f>
        <v>109153</v>
      </c>
      <c r="BF800" s="66"/>
      <c r="BG800" s="144">
        <f t="shared" ref="BG800" si="3022">+BE800/BA800</f>
        <v>0.19600142934356141</v>
      </c>
      <c r="BH800" s="66"/>
      <c r="BI800" s="170"/>
      <c r="BJ800" s="66"/>
      <c r="BK800" s="66"/>
      <c r="BL800" s="66"/>
      <c r="BM800" s="144"/>
      <c r="BN800" s="65">
        <f t="shared" ref="BN800" si="3023">+BC800/BW800</f>
        <v>1290610.6637168142</v>
      </c>
      <c r="BO800" s="66"/>
      <c r="BP800" s="66">
        <f t="shared" ref="BP800" si="3024">+BP799+BE800</f>
        <v>72964462</v>
      </c>
      <c r="BQ800" s="66"/>
      <c r="BR800" s="435">
        <f t="shared" ref="BR800" si="3025">+BP800/BC800</f>
        <v>7.1472611674967004E-2</v>
      </c>
      <c r="BS800" s="66"/>
      <c r="BT800" s="75"/>
      <c r="BU800" s="170"/>
      <c r="BV800" s="1"/>
      <c r="BW800" s="61">
        <f t="shared" si="1544"/>
        <v>791</v>
      </c>
      <c r="BY800" s="56"/>
      <c r="BZ800" s="1"/>
      <c r="CA800" s="61"/>
    </row>
    <row r="801" spans="2:79" x14ac:dyDescent="0.3">
      <c r="B801" s="158">
        <f t="shared" si="2425"/>
        <v>44701</v>
      </c>
      <c r="C801" s="61"/>
      <c r="D801" s="17">
        <v>98665</v>
      </c>
      <c r="E801" s="16"/>
      <c r="F801" s="16"/>
      <c r="G801" s="16"/>
      <c r="H801" s="16">
        <f t="shared" ref="H801" si="3026">+H800+D801</f>
        <v>73970105</v>
      </c>
      <c r="I801" s="16"/>
      <c r="J801" s="436">
        <f t="shared" ref="J801" si="3027">+D801/H800</f>
        <v>1.3356311992835121E-3</v>
      </c>
      <c r="K801" s="16"/>
      <c r="L801" s="16"/>
      <c r="M801" s="16"/>
      <c r="N801" s="16">
        <f t="shared" ref="N801" si="3028">SUM(D795:D801)</f>
        <v>500173</v>
      </c>
      <c r="O801" s="16">
        <f t="shared" ref="O801" si="3029">+H801/BW801</f>
        <v>93396.597222222219</v>
      </c>
      <c r="P801" s="41"/>
      <c r="Q801" s="17">
        <f t="shared" ref="Q801" si="3030">SUM(D795:D801)</f>
        <v>500173</v>
      </c>
      <c r="R801" s="16"/>
      <c r="S801" s="60">
        <f t="shared" ref="S801" si="3031">+(Q801-Q794)/Q794</f>
        <v>0.17007469512551729</v>
      </c>
      <c r="T801" s="16"/>
      <c r="U801" s="41"/>
      <c r="V801" s="10">
        <f t="shared" si="558"/>
        <v>693</v>
      </c>
      <c r="W801" s="34">
        <v>244</v>
      </c>
      <c r="X801" s="33">
        <v>4256</v>
      </c>
      <c r="Y801" s="33"/>
      <c r="Z801" s="33">
        <f t="shared" ref="Z801" si="3032">SUM(W796:W801)</f>
        <v>1210</v>
      </c>
      <c r="AA801" s="33">
        <f t="shared" ref="AA801" si="3033">+AA800+W801</f>
        <v>895742</v>
      </c>
      <c r="AB801" s="33"/>
      <c r="AC801" s="46">
        <f t="shared" ref="AC801" si="3034">+AA801/H801</f>
        <v>1.2109513701514956E-2</v>
      </c>
      <c r="AD801" s="33"/>
      <c r="AE801" s="33">
        <f t="shared" ref="AE801" si="3035">+AA801/BW801</f>
        <v>1130.9873737373737</v>
      </c>
      <c r="AF801" s="50"/>
      <c r="AG801" s="33"/>
      <c r="AH801" s="33"/>
      <c r="AI801" s="213"/>
      <c r="AJ801" s="50"/>
      <c r="AL801" s="23">
        <f t="shared" ref="AL801" si="3036">+AP801-AP800</f>
        <v>51724</v>
      </c>
      <c r="AM801" s="24"/>
      <c r="AN801" s="24"/>
      <c r="AO801" s="24">
        <v>178263</v>
      </c>
      <c r="AP801" s="24">
        <v>81545166</v>
      </c>
      <c r="AQ801" s="24">
        <v>20336656</v>
      </c>
      <c r="AR801" s="461">
        <f t="shared" ref="AR801" si="3037">+AL801/AP800</f>
        <v>6.3470137879315493E-4</v>
      </c>
      <c r="AS801" s="25"/>
      <c r="AT801" s="25"/>
      <c r="AU801" s="24"/>
      <c r="AV801" s="298">
        <f t="shared" ref="AV801" si="3038">+AP801/H801</f>
        <v>1.1024070602576541</v>
      </c>
      <c r="AW801" s="298"/>
      <c r="AX801" s="24">
        <f t="shared" ref="AX801" si="3039">+AP801/BW801</f>
        <v>102961.06818181818</v>
      </c>
      <c r="AY801" s="308"/>
      <c r="BA801" s="65">
        <f t="shared" ref="BA801" si="3040">+BC801-BC800</f>
        <v>536180</v>
      </c>
      <c r="BB801" s="66"/>
      <c r="BC801" s="66">
        <v>1021409215</v>
      </c>
      <c r="BD801" s="66"/>
      <c r="BE801" s="66">
        <f t="shared" ref="BE801" si="3041">+D801</f>
        <v>98665</v>
      </c>
      <c r="BF801" s="66"/>
      <c r="BG801" s="144">
        <f t="shared" ref="BG801" si="3042">+BE801/BA801</f>
        <v>0.18401469655712635</v>
      </c>
      <c r="BH801" s="66"/>
      <c r="BI801" s="170"/>
      <c r="BJ801" s="66"/>
      <c r="BK801" s="66"/>
      <c r="BL801" s="66"/>
      <c r="BM801" s="144"/>
      <c r="BN801" s="65">
        <f t="shared" ref="BN801" si="3043">+BC801/BW801</f>
        <v>1289658.0997474748</v>
      </c>
      <c r="BO801" s="66"/>
      <c r="BP801" s="66">
        <f t="shared" ref="BP801" si="3044">+BP800+BE801</f>
        <v>73063127</v>
      </c>
      <c r="BQ801" s="66"/>
      <c r="BR801" s="435">
        <f t="shared" ref="BR801" si="3045">+BP801/BC801</f>
        <v>7.1531689676404581E-2</v>
      </c>
      <c r="BS801" s="66"/>
      <c r="BT801" s="75"/>
      <c r="BU801" s="170"/>
      <c r="BV801" s="1"/>
      <c r="BW801" s="61">
        <f t="shared" si="1544"/>
        <v>792</v>
      </c>
      <c r="BY801" s="56"/>
      <c r="BZ801" s="1"/>
      <c r="CA801" s="61"/>
    </row>
    <row r="802" spans="2:79" x14ac:dyDescent="0.3">
      <c r="B802" s="158">
        <f t="shared" si="2425"/>
        <v>44702</v>
      </c>
      <c r="C802" s="61"/>
      <c r="D802" s="17">
        <v>40232</v>
      </c>
      <c r="E802" s="16"/>
      <c r="F802" s="16"/>
      <c r="G802" s="16"/>
      <c r="H802" s="16">
        <f t="shared" ref="H802" si="3046">+H801+D802</f>
        <v>74010337</v>
      </c>
      <c r="I802" s="16"/>
      <c r="J802" s="436">
        <f t="shared" ref="J802" si="3047">+D802/H801</f>
        <v>5.4389540206817332E-4</v>
      </c>
      <c r="K802" s="16"/>
      <c r="L802" s="16"/>
      <c r="M802" s="16"/>
      <c r="N802" s="16">
        <f t="shared" ref="N802" si="3048">SUM(D796:D802)</f>
        <v>513665</v>
      </c>
      <c r="O802" s="16">
        <f t="shared" ref="O802" si="3049">+H802/BW802</f>
        <v>93329.554854981077</v>
      </c>
      <c r="P802" s="41"/>
      <c r="Q802" s="17">
        <f t="shared" ref="Q802" si="3050">SUM(D796:D802)</f>
        <v>513665</v>
      </c>
      <c r="R802" s="16"/>
      <c r="S802" s="60">
        <f t="shared" ref="S802" si="3051">+(Q802-Q795)/Q795</f>
        <v>0.21414288010438037</v>
      </c>
      <c r="T802" s="16"/>
      <c r="U802" s="41"/>
      <c r="V802" s="10">
        <f t="shared" si="558"/>
        <v>694</v>
      </c>
      <c r="W802" s="34">
        <v>72</v>
      </c>
      <c r="X802" s="33">
        <v>4256</v>
      </c>
      <c r="Y802" s="33"/>
      <c r="Z802" s="33">
        <f t="shared" ref="Z802" si="3052">SUM(W797:W802)</f>
        <v>1258</v>
      </c>
      <c r="AA802" s="33">
        <f t="shared" ref="AA802" si="3053">+AA801+W802</f>
        <v>895814</v>
      </c>
      <c r="AB802" s="33"/>
      <c r="AC802" s="46">
        <f t="shared" ref="AC802" si="3054">+AA802/H802</f>
        <v>1.210390381008534E-2</v>
      </c>
      <c r="AD802" s="33"/>
      <c r="AE802" s="33">
        <f t="shared" ref="AE802" si="3055">+AA802/BW802</f>
        <v>1129.6519546027744</v>
      </c>
      <c r="AF802" s="50"/>
      <c r="AG802" s="33"/>
      <c r="AH802" s="33"/>
      <c r="AI802" s="213"/>
      <c r="AJ802" s="50"/>
      <c r="AL802" s="23">
        <f t="shared" ref="AL802" si="3056">+AP802-AP801</f>
        <v>41083</v>
      </c>
      <c r="AM802" s="24"/>
      <c r="AN802" s="24"/>
      <c r="AO802" s="24">
        <v>178263</v>
      </c>
      <c r="AP802" s="24">
        <v>81586249</v>
      </c>
      <c r="AQ802" s="24">
        <v>20336656</v>
      </c>
      <c r="AR802" s="461">
        <f t="shared" ref="AR802" si="3057">+AL802/AP801</f>
        <v>5.0380668794027591E-4</v>
      </c>
      <c r="AS802" s="25"/>
      <c r="AT802" s="25"/>
      <c r="AU802" s="24"/>
      <c r="AV802" s="298">
        <f t="shared" ref="AV802" si="3058">+AP802/H802</f>
        <v>1.1023628902000542</v>
      </c>
      <c r="AW802" s="298"/>
      <c r="AX802" s="24">
        <f t="shared" ref="AX802" si="3059">+AP802/BW802</f>
        <v>102883.03783102144</v>
      </c>
      <c r="AY802" s="308"/>
      <c r="BA802" s="65">
        <f t="shared" ref="BA802" si="3060">+BC802-BC801</f>
        <v>248774</v>
      </c>
      <c r="BB802" s="66"/>
      <c r="BC802" s="66">
        <v>1021657989</v>
      </c>
      <c r="BD802" s="66"/>
      <c r="BE802" s="66">
        <f t="shared" ref="BE802" si="3061">+D802</f>
        <v>40232</v>
      </c>
      <c r="BF802" s="66"/>
      <c r="BG802" s="144">
        <f t="shared" ref="BG802" si="3062">+BE802/BA802</f>
        <v>0.16172108017718895</v>
      </c>
      <c r="BH802" s="66"/>
      <c r="BI802" s="170"/>
      <c r="BJ802" s="66"/>
      <c r="BK802" s="66"/>
      <c r="BL802" s="66"/>
      <c r="BM802" s="144"/>
      <c r="BN802" s="65">
        <f t="shared" ref="BN802" si="3063">+BC802/BW802</f>
        <v>1288345.5094577554</v>
      </c>
      <c r="BO802" s="66"/>
      <c r="BP802" s="66">
        <f t="shared" ref="BP802" si="3064">+BP801+BE802</f>
        <v>73103359</v>
      </c>
      <c r="BQ802" s="66"/>
      <c r="BR802" s="435">
        <f t="shared" ref="BR802" si="3065">+BP802/BC802</f>
        <v>7.1553650817680822E-2</v>
      </c>
      <c r="BS802" s="66"/>
      <c r="BT802" s="75"/>
      <c r="BU802" s="170"/>
      <c r="BV802" s="1"/>
      <c r="BW802" s="61">
        <f t="shared" si="1544"/>
        <v>793</v>
      </c>
      <c r="BY802" s="56"/>
      <c r="BZ802" s="1"/>
      <c r="CA802" s="61"/>
    </row>
    <row r="803" spans="2:79" x14ac:dyDescent="0.3">
      <c r="B803" s="347">
        <f t="shared" si="2425"/>
        <v>44703</v>
      </c>
      <c r="C803" s="61"/>
      <c r="D803" s="17">
        <v>19979</v>
      </c>
      <c r="E803" s="16"/>
      <c r="F803" s="16"/>
      <c r="G803" s="16"/>
      <c r="H803" s="16">
        <f t="shared" ref="H803" si="3066">+H802+D803</f>
        <v>74030316</v>
      </c>
      <c r="I803" s="16"/>
      <c r="J803" s="436">
        <f t="shared" ref="J803" si="3067">+D803/H802</f>
        <v>2.6994877756062645E-4</v>
      </c>
      <c r="K803" s="16"/>
      <c r="L803" s="16"/>
      <c r="M803" s="16"/>
      <c r="N803" s="16">
        <f t="shared" ref="N803" si="3068">SUM(D797:D803)</f>
        <v>512288</v>
      </c>
      <c r="O803" s="16">
        <f t="shared" ref="O803" si="3069">+H803/BW803</f>
        <v>93237.173803526442</v>
      </c>
      <c r="P803" s="41"/>
      <c r="Q803" s="17">
        <f t="shared" ref="Q803" si="3070">SUM(D797:D803)</f>
        <v>512288</v>
      </c>
      <c r="R803" s="16"/>
      <c r="S803" s="60">
        <f t="shared" ref="S803" si="3071">+(Q803-Q796)/Q796</f>
        <v>0.19021597710122301</v>
      </c>
      <c r="T803" s="16"/>
      <c r="U803" s="41"/>
      <c r="V803" s="10">
        <f t="shared" si="558"/>
        <v>695</v>
      </c>
      <c r="W803" s="34">
        <v>22</v>
      </c>
      <c r="X803" s="33">
        <v>4256</v>
      </c>
      <c r="Y803" s="33"/>
      <c r="Z803" s="33">
        <f t="shared" ref="Z803" si="3072">SUM(W798:W803)</f>
        <v>1173</v>
      </c>
      <c r="AA803" s="33">
        <f t="shared" ref="AA803" si="3073">+AA802+W803</f>
        <v>895836</v>
      </c>
      <c r="AB803" s="33"/>
      <c r="AC803" s="46">
        <f t="shared" ref="AC803" si="3074">+AA803/H803</f>
        <v>1.2100934433401581E-2</v>
      </c>
      <c r="AD803" s="33"/>
      <c r="AE803" s="33">
        <f t="shared" ref="AE803" si="3075">+AA803/BW803</f>
        <v>1128.2569269521412</v>
      </c>
      <c r="AF803" s="50"/>
      <c r="AG803" s="33"/>
      <c r="AH803" s="33"/>
      <c r="AI803" s="213"/>
      <c r="AJ803" s="50"/>
      <c r="AL803" s="23">
        <f t="shared" ref="AL803" si="3076">+AP803-AP802</f>
        <v>45898</v>
      </c>
      <c r="AM803" s="24"/>
      <c r="AN803" s="24"/>
      <c r="AO803" s="24">
        <v>178263</v>
      </c>
      <c r="AP803" s="24">
        <v>81632147</v>
      </c>
      <c r="AQ803" s="24">
        <v>20336656</v>
      </c>
      <c r="AR803" s="461">
        <f t="shared" ref="AR803" si="3077">+AL803/AP802</f>
        <v>5.6257029294238051E-4</v>
      </c>
      <c r="AS803" s="25"/>
      <c r="AT803" s="25"/>
      <c r="AU803" s="24"/>
      <c r="AV803" s="298">
        <f t="shared" ref="AV803" si="3078">+AP803/H803</f>
        <v>1.1026853782442316</v>
      </c>
      <c r="AW803" s="298"/>
      <c r="AX803" s="24">
        <f t="shared" ref="AX803" si="3079">+AP803/BW803</f>
        <v>102811.26826196474</v>
      </c>
      <c r="AY803" s="308"/>
      <c r="BA803" s="65">
        <f t="shared" ref="BA803" si="3080">+BC803-BC802</f>
        <v>313337</v>
      </c>
      <c r="BB803" s="66"/>
      <c r="BC803" s="66">
        <v>1021971326</v>
      </c>
      <c r="BD803" s="66"/>
      <c r="BE803" s="66">
        <f t="shared" ref="BE803" si="3081">+D803</f>
        <v>19979</v>
      </c>
      <c r="BF803" s="66"/>
      <c r="BG803" s="144">
        <f t="shared" ref="BG803" si="3082">+BE803/BA803</f>
        <v>6.3762019806151204E-2</v>
      </c>
      <c r="BH803" s="66"/>
      <c r="BI803" s="170"/>
      <c r="BJ803" s="66"/>
      <c r="BK803" s="66"/>
      <c r="BL803" s="66"/>
      <c r="BM803" s="144"/>
      <c r="BN803" s="65">
        <f t="shared" ref="BN803" si="3083">+BC803/BW803</f>
        <v>1287117.5390428212</v>
      </c>
      <c r="BO803" s="66"/>
      <c r="BP803" s="66">
        <f t="shared" ref="BP803" si="3084">+BP802+BE803</f>
        <v>73123338</v>
      </c>
      <c r="BQ803" s="66"/>
      <c r="BR803" s="435">
        <f t="shared" ref="BR803" si="3085">+BP803/BC803</f>
        <v>7.1551261899103422E-2</v>
      </c>
      <c r="BS803" s="66"/>
      <c r="BT803" s="75"/>
      <c r="BU803" s="170"/>
      <c r="BV803" s="1"/>
      <c r="BW803" s="61">
        <f t="shared" si="1544"/>
        <v>794</v>
      </c>
      <c r="BY803" s="56"/>
      <c r="BZ803" s="1"/>
      <c r="CA803" s="61"/>
    </row>
    <row r="804" spans="2:79" x14ac:dyDescent="0.3">
      <c r="B804" s="158">
        <f t="shared" si="2425"/>
        <v>44704</v>
      </c>
      <c r="C804" s="61"/>
      <c r="D804" s="17">
        <v>53287</v>
      </c>
      <c r="E804" s="16"/>
      <c r="F804" s="16"/>
      <c r="G804" s="16"/>
      <c r="H804" s="16">
        <f t="shared" ref="H804" si="3086">+H803+D804</f>
        <v>74083603</v>
      </c>
      <c r="I804" s="16"/>
      <c r="J804" s="436">
        <f t="shared" ref="J804" si="3087">+D804/H803</f>
        <v>7.1979971016198285E-4</v>
      </c>
      <c r="K804" s="16"/>
      <c r="L804" s="16"/>
      <c r="M804" s="16"/>
      <c r="N804" s="16">
        <f t="shared" ref="N804" si="3088">SUM(D798:D804)</f>
        <v>500642</v>
      </c>
      <c r="O804" s="16">
        <f t="shared" ref="O804" si="3089">+H804/BW804</f>
        <v>93186.922012578623</v>
      </c>
      <c r="P804" s="41"/>
      <c r="Q804" s="17">
        <f t="shared" ref="Q804" si="3090">SUM(D798:D804)</f>
        <v>500642</v>
      </c>
      <c r="R804" s="16"/>
      <c r="S804" s="60">
        <f t="shared" ref="S804" si="3091">+(Q804-Q797)/Q797</f>
        <v>0.15259427066426315</v>
      </c>
      <c r="T804" s="16"/>
      <c r="U804" s="41"/>
      <c r="V804" s="10">
        <f t="shared" si="558"/>
        <v>696</v>
      </c>
      <c r="W804" s="34">
        <v>106</v>
      </c>
      <c r="X804" s="33">
        <v>4256</v>
      </c>
      <c r="Y804" s="33"/>
      <c r="Z804" s="33">
        <f t="shared" ref="Z804" si="3092">SUM(W799:W804)</f>
        <v>974</v>
      </c>
      <c r="AA804" s="33">
        <f t="shared" ref="AA804" si="3093">+AA803+W804</f>
        <v>895942</v>
      </c>
      <c r="AB804" s="33"/>
      <c r="AC804" s="46">
        <f t="shared" ref="AC804" si="3094">+AA804/H804</f>
        <v>1.2093661265367992E-2</v>
      </c>
      <c r="AD804" s="33"/>
      <c r="AE804" s="33">
        <f t="shared" ref="AE804" si="3095">+AA804/BW804</f>
        <v>1126.97106918239</v>
      </c>
      <c r="AF804" s="50"/>
      <c r="AG804" s="33"/>
      <c r="AH804" s="33"/>
      <c r="AI804" s="213"/>
      <c r="AJ804" s="50"/>
      <c r="AL804" s="23">
        <f t="shared" ref="AL804" si="3096">+AP804-AP803</f>
        <v>69377</v>
      </c>
      <c r="AM804" s="24"/>
      <c r="AN804" s="24"/>
      <c r="AO804" s="24">
        <v>178263</v>
      </c>
      <c r="AP804" s="24">
        <v>81701524</v>
      </c>
      <c r="AQ804" s="24">
        <v>20336656</v>
      </c>
      <c r="AR804" s="461">
        <f t="shared" ref="AR804" si="3097">+AL804/AP803</f>
        <v>8.4987351857841004E-4</v>
      </c>
      <c r="AS804" s="25"/>
      <c r="AT804" s="25"/>
      <c r="AU804" s="24"/>
      <c r="AV804" s="298">
        <f t="shared" ref="AV804" si="3098">+AP804/H804</f>
        <v>1.1028287055639019</v>
      </c>
      <c r="AW804" s="298"/>
      <c r="AX804" s="24">
        <f t="shared" ref="AX804" si="3099">+AP804/BW804</f>
        <v>102769.21257861635</v>
      </c>
      <c r="AY804" s="308"/>
      <c r="BA804" s="65">
        <f t="shared" ref="BA804" si="3100">+BC804-BC803</f>
        <v>542005</v>
      </c>
      <c r="BB804" s="66"/>
      <c r="BC804" s="66">
        <v>1022513331</v>
      </c>
      <c r="BD804" s="66"/>
      <c r="BE804" s="66">
        <f t="shared" ref="BE804" si="3101">+D804</f>
        <v>53287</v>
      </c>
      <c r="BF804" s="66"/>
      <c r="BG804" s="144">
        <f t="shared" ref="BG804" si="3102">+BE804/BA804</f>
        <v>9.8314591193808171E-2</v>
      </c>
      <c r="BH804" s="66"/>
      <c r="BI804" s="170"/>
      <c r="BJ804" s="66"/>
      <c r="BK804" s="66"/>
      <c r="BL804" s="66"/>
      <c r="BM804" s="144"/>
      <c r="BN804" s="65">
        <f t="shared" ref="BN804" si="3103">+BC804/BW804</f>
        <v>1286180.2905660376</v>
      </c>
      <c r="BO804" s="66"/>
      <c r="BP804" s="66">
        <f t="shared" ref="BP804" si="3104">+BP803+BE804</f>
        <v>73176625</v>
      </c>
      <c r="BQ804" s="66"/>
      <c r="BR804" s="435">
        <f t="shared" ref="BR804" si="3105">+BP804/BC804</f>
        <v>7.1565448372623713E-2</v>
      </c>
      <c r="BS804" s="66"/>
      <c r="BT804" s="75"/>
      <c r="BU804" s="170"/>
      <c r="BV804" s="1"/>
      <c r="BW804" s="61">
        <f t="shared" si="1544"/>
        <v>795</v>
      </c>
      <c r="BY804" s="56"/>
      <c r="BZ804" s="1"/>
      <c r="CA804" s="61"/>
    </row>
    <row r="805" spans="2:79" x14ac:dyDescent="0.3">
      <c r="B805" s="158">
        <f t="shared" si="2425"/>
        <v>44705</v>
      </c>
      <c r="C805" s="61"/>
      <c r="D805" s="17">
        <v>75633</v>
      </c>
      <c r="E805" s="16"/>
      <c r="F805" s="16"/>
      <c r="G805" s="16"/>
      <c r="H805" s="16">
        <f t="shared" ref="H805" si="3106">+H804+D805</f>
        <v>74159236</v>
      </c>
      <c r="I805" s="16"/>
      <c r="J805" s="436">
        <f t="shared" ref="J805" si="3107">+D805/H804</f>
        <v>1.0209141690908311E-3</v>
      </c>
      <c r="K805" s="16"/>
      <c r="L805" s="16"/>
      <c r="M805" s="16"/>
      <c r="N805" s="16">
        <f t="shared" ref="N805" si="3108">SUM(D799:D805)</f>
        <v>500907</v>
      </c>
      <c r="O805" s="16">
        <f t="shared" ref="O805" si="3109">+H805/BW805</f>
        <v>93164.869346733671</v>
      </c>
      <c r="P805" s="41"/>
      <c r="Q805" s="17">
        <f t="shared" ref="Q805" si="3110">SUM(D799:D805)</f>
        <v>500907</v>
      </c>
      <c r="R805" s="16"/>
      <c r="S805" s="60">
        <f t="shared" ref="S805" si="3111">+(Q805-Q798)/Q798</f>
        <v>0.1136835084208771</v>
      </c>
      <c r="T805" s="16"/>
      <c r="U805" s="41"/>
      <c r="V805" s="10">
        <f t="shared" si="558"/>
        <v>697</v>
      </c>
      <c r="W805" s="34">
        <v>324</v>
      </c>
      <c r="X805" s="33">
        <v>4256</v>
      </c>
      <c r="Y805" s="33"/>
      <c r="Z805" s="33">
        <f t="shared" ref="Z805" si="3112">SUM(W800:W805)</f>
        <v>1025</v>
      </c>
      <c r="AA805" s="33">
        <f t="shared" ref="AA805" si="3113">+AA804+W805</f>
        <v>896266</v>
      </c>
      <c r="AB805" s="33"/>
      <c r="AC805" s="46">
        <f t="shared" ref="AC805" si="3114">+AA805/H805</f>
        <v>1.2085696244227759E-2</v>
      </c>
      <c r="AD805" s="33"/>
      <c r="AE805" s="33">
        <f t="shared" ref="AE805" si="3115">+AA805/BW805</f>
        <v>1125.962311557789</v>
      </c>
      <c r="AF805" s="50"/>
      <c r="AG805" s="33"/>
      <c r="AH805" s="33"/>
      <c r="AI805" s="213"/>
      <c r="AJ805" s="50"/>
      <c r="AL805" s="23">
        <f t="shared" ref="AL805" si="3116">+AP805-AP804</f>
        <v>63387</v>
      </c>
      <c r="AM805" s="24"/>
      <c r="AN805" s="24"/>
      <c r="AO805" s="24">
        <v>178263</v>
      </c>
      <c r="AP805" s="24">
        <v>81764911</v>
      </c>
      <c r="AQ805" s="24">
        <v>20336656</v>
      </c>
      <c r="AR805" s="461">
        <f t="shared" ref="AR805" si="3117">+AL805/AP804</f>
        <v>7.75836201048098E-4</v>
      </c>
      <c r="AS805" s="25"/>
      <c r="AT805" s="25"/>
      <c r="AU805" s="24"/>
      <c r="AV805" s="298">
        <f t="shared" ref="AV805" si="3118">+AP805/H805</f>
        <v>1.1025587021959071</v>
      </c>
      <c r="AW805" s="298"/>
      <c r="AX805" s="24">
        <f t="shared" ref="AX805" si="3119">+AP805/BW805</f>
        <v>102719.73743718593</v>
      </c>
      <c r="AY805" s="308"/>
      <c r="BA805" s="65">
        <f t="shared" ref="BA805" si="3120">+BC805-BC804</f>
        <v>470955</v>
      </c>
      <c r="BB805" s="66"/>
      <c r="BC805" s="66">
        <v>1022984286</v>
      </c>
      <c r="BD805" s="66"/>
      <c r="BE805" s="66">
        <f t="shared" ref="BE805" si="3121">+D805</f>
        <v>75633</v>
      </c>
      <c r="BF805" s="66"/>
      <c r="BG805" s="144">
        <f t="shared" ref="BG805" si="3122">+BE805/BA805</f>
        <v>0.16059496130203524</v>
      </c>
      <c r="BH805" s="66"/>
      <c r="BI805" s="170"/>
      <c r="BJ805" s="66"/>
      <c r="BK805" s="66"/>
      <c r="BL805" s="66"/>
      <c r="BM805" s="144"/>
      <c r="BN805" s="65">
        <f t="shared" ref="BN805" si="3123">+BC805/BW805</f>
        <v>1285156.1381909547</v>
      </c>
      <c r="BO805" s="66"/>
      <c r="BP805" s="66">
        <f t="shared" ref="BP805" si="3124">+BP804+BE805</f>
        <v>73252258</v>
      </c>
      <c r="BQ805" s="66"/>
      <c r="BR805" s="435">
        <f t="shared" ref="BR805" si="3125">+BP805/BC805</f>
        <v>7.1606435213609917E-2</v>
      </c>
      <c r="BS805" s="66"/>
      <c r="BT805" s="75"/>
      <c r="BU805" s="170"/>
      <c r="BV805" s="1"/>
      <c r="BW805" s="61">
        <f t="shared" si="1544"/>
        <v>796</v>
      </c>
      <c r="BY805" s="56"/>
      <c r="BZ805" s="1"/>
      <c r="CA805" s="61"/>
    </row>
    <row r="806" spans="2:79" x14ac:dyDescent="0.3">
      <c r="B806" s="158">
        <f t="shared" si="2425"/>
        <v>44706</v>
      </c>
      <c r="C806" s="61"/>
      <c r="D806" s="17">
        <v>101221</v>
      </c>
      <c r="E806" s="16"/>
      <c r="F806" s="16"/>
      <c r="G806" s="16"/>
      <c r="H806" s="16">
        <f t="shared" ref="H806" si="3126">+H805+D806</f>
        <v>74260457</v>
      </c>
      <c r="I806" s="16"/>
      <c r="J806" s="436">
        <f t="shared" ref="J806" si="3127">+D806/H805</f>
        <v>1.3649142771643441E-3</v>
      </c>
      <c r="K806" s="16"/>
      <c r="L806" s="16"/>
      <c r="M806" s="16"/>
      <c r="N806" s="16">
        <f t="shared" ref="N806" si="3128">SUM(D800:D806)</f>
        <v>498170</v>
      </c>
      <c r="O806" s="16">
        <f t="shared" ref="O806" si="3129">+H806/BW806</f>
        <v>93174.977415307396</v>
      </c>
      <c r="P806" s="41"/>
      <c r="Q806" s="17">
        <f t="shared" ref="Q806" si="3130">SUM(D800:D806)</f>
        <v>498170</v>
      </c>
      <c r="R806" s="16"/>
      <c r="S806" s="60">
        <f t="shared" ref="S806" si="3131">+(Q806-Q799)/Q799</f>
        <v>6.9539267465326973E-2</v>
      </c>
      <c r="T806" s="16"/>
      <c r="U806" s="41"/>
      <c r="V806" s="10">
        <f t="shared" si="558"/>
        <v>698</v>
      </c>
      <c r="W806" s="34">
        <v>317</v>
      </c>
      <c r="X806" s="33">
        <v>4256</v>
      </c>
      <c r="Y806" s="33"/>
      <c r="Z806" s="33">
        <f t="shared" ref="Z806" si="3132">SUM(W801:W806)</f>
        <v>1085</v>
      </c>
      <c r="AA806" s="33">
        <f t="shared" ref="AA806" si="3133">+AA805+W806</f>
        <v>896583</v>
      </c>
      <c r="AB806" s="33"/>
      <c r="AC806" s="46">
        <f t="shared" ref="AC806" si="3134">+AA806/H806</f>
        <v>1.2073491548806386E-2</v>
      </c>
      <c r="AD806" s="33"/>
      <c r="AE806" s="33">
        <f t="shared" ref="AE806" si="3135">+AA806/BW806</f>
        <v>1124.9473023839398</v>
      </c>
      <c r="AF806" s="50"/>
      <c r="AG806" s="33"/>
      <c r="AH806" s="33"/>
      <c r="AI806" s="213"/>
      <c r="AJ806" s="50"/>
      <c r="AL806" s="23">
        <f t="shared" ref="AL806" si="3136">+AP806-AP805</f>
        <v>86494</v>
      </c>
      <c r="AM806" s="24"/>
      <c r="AN806" s="24"/>
      <c r="AO806" s="24">
        <v>178263</v>
      </c>
      <c r="AP806" s="24">
        <v>81851405</v>
      </c>
      <c r="AQ806" s="24">
        <v>20336656</v>
      </c>
      <c r="AR806" s="461">
        <f t="shared" ref="AR806" si="3137">+AL806/AP805</f>
        <v>1.0578376340432878E-3</v>
      </c>
      <c r="AS806" s="25"/>
      <c r="AT806" s="25"/>
      <c r="AU806" s="24"/>
      <c r="AV806" s="298">
        <f t="shared" ref="AV806" si="3138">+AP806/H806</f>
        <v>1.1022205936599609</v>
      </c>
      <c r="AW806" s="298"/>
      <c r="AX806" s="24">
        <f t="shared" ref="AX806" si="3139">+AP806/BW806</f>
        <v>102699.37892095358</v>
      </c>
      <c r="AY806" s="308"/>
      <c r="BA806" s="65">
        <f t="shared" ref="BA806" si="3140">+BC806-BC805</f>
        <v>842190</v>
      </c>
      <c r="BB806" s="66"/>
      <c r="BC806" s="66">
        <v>1023826476</v>
      </c>
      <c r="BD806" s="66"/>
      <c r="BE806" s="66">
        <f t="shared" ref="BE806" si="3141">+D806</f>
        <v>101221</v>
      </c>
      <c r="BF806" s="66"/>
      <c r="BG806" s="144">
        <f t="shared" ref="BG806" si="3142">+BE806/BA806</f>
        <v>0.12018784359823793</v>
      </c>
      <c r="BH806" s="66"/>
      <c r="BI806" s="170"/>
      <c r="BJ806" s="66"/>
      <c r="BK806" s="66"/>
      <c r="BL806" s="66"/>
      <c r="BM806" s="144"/>
      <c r="BN806" s="65">
        <f t="shared" ref="BN806" si="3143">+BC806/BW806</f>
        <v>1284600.3462986199</v>
      </c>
      <c r="BO806" s="66"/>
      <c r="BP806" s="66">
        <f t="shared" ref="BP806" si="3144">+BP805+BE806</f>
        <v>73353479</v>
      </c>
      <c r="BQ806" s="66"/>
      <c r="BR806" s="435">
        <f t="shared" ref="BR806" si="3145">+BP806/BC806</f>
        <v>7.1646397821812147E-2</v>
      </c>
      <c r="BS806" s="66"/>
      <c r="BT806" s="75"/>
      <c r="BU806" s="170"/>
      <c r="BV806" s="1"/>
      <c r="BW806" s="61">
        <f t="shared" si="1544"/>
        <v>797</v>
      </c>
      <c r="BY806" s="56"/>
      <c r="BZ806" s="1"/>
      <c r="CA806" s="61"/>
    </row>
    <row r="807" spans="2:79" x14ac:dyDescent="0.3">
      <c r="B807" s="158">
        <f t="shared" si="2425"/>
        <v>44707</v>
      </c>
      <c r="C807" s="61"/>
      <c r="D807" s="17">
        <v>87420</v>
      </c>
      <c r="E807" s="16"/>
      <c r="F807" s="16"/>
      <c r="G807" s="16"/>
      <c r="H807" s="16">
        <f t="shared" ref="H807" si="3146">+H806+D807</f>
        <v>74347877</v>
      </c>
      <c r="I807" s="16"/>
      <c r="J807" s="436">
        <f t="shared" ref="J807" si="3147">+D807/H806</f>
        <v>1.1772079452729465E-3</v>
      </c>
      <c r="K807" s="16"/>
      <c r="L807" s="16"/>
      <c r="M807" s="16"/>
      <c r="N807" s="16">
        <f t="shared" ref="N807" si="3148">SUM(D801:D807)</f>
        <v>476437</v>
      </c>
      <c r="O807" s="16">
        <f t="shared" ref="O807" si="3149">+H807/BW807</f>
        <v>93167.765664160397</v>
      </c>
      <c r="P807" s="41"/>
      <c r="Q807" s="17">
        <f t="shared" ref="Q807" si="3150">SUM(D801:D807)</f>
        <v>476437</v>
      </c>
      <c r="R807" s="16"/>
      <c r="S807" s="60">
        <f t="shared" ref="S807" si="3151">+(Q807-Q800)/Q800</f>
        <v>-2.5896385832840936E-2</v>
      </c>
      <c r="T807" s="16"/>
      <c r="U807" s="41"/>
      <c r="V807" s="10">
        <f t="shared" si="558"/>
        <v>699</v>
      </c>
      <c r="W807" s="34">
        <v>217</v>
      </c>
      <c r="X807" s="33">
        <v>4256</v>
      </c>
      <c r="Y807" s="33"/>
      <c r="Z807" s="33">
        <f t="shared" ref="Z807" si="3152">SUM(W802:W807)</f>
        <v>1058</v>
      </c>
      <c r="AA807" s="33">
        <f t="shared" ref="AA807" si="3153">+AA806+W807</f>
        <v>896800</v>
      </c>
      <c r="AB807" s="33"/>
      <c r="AC807" s="46">
        <f t="shared" ref="AC807" si="3154">+AA807/H807</f>
        <v>1.2062213962074532E-2</v>
      </c>
      <c r="AD807" s="33"/>
      <c r="AE807" s="33">
        <f t="shared" ref="AE807" si="3155">+AA807/BW807</f>
        <v>1123.8095238095239</v>
      </c>
      <c r="AF807" s="50"/>
      <c r="AG807" s="33"/>
      <c r="AH807" s="33"/>
      <c r="AI807" s="213"/>
      <c r="AJ807" s="50"/>
      <c r="AL807" s="23">
        <f t="shared" ref="AL807" si="3156">+AP807-AP806</f>
        <v>87237</v>
      </c>
      <c r="AM807" s="24"/>
      <c r="AN807" s="24"/>
      <c r="AO807" s="24">
        <v>178263</v>
      </c>
      <c r="AP807" s="24">
        <v>81938642</v>
      </c>
      <c r="AQ807" s="24">
        <v>20336656</v>
      </c>
      <c r="AR807" s="461">
        <f t="shared" ref="AR807" si="3157">+AL807/AP806</f>
        <v>1.065797221196142E-3</v>
      </c>
      <c r="AS807" s="25"/>
      <c r="AT807" s="25"/>
      <c r="AU807" s="24"/>
      <c r="AV807" s="298">
        <f t="shared" ref="AV807" si="3158">+AP807/H807</f>
        <v>1.102097938855739</v>
      </c>
      <c r="AW807" s="298"/>
      <c r="AX807" s="24">
        <f t="shared" ref="AX807" si="3159">+AP807/BW807</f>
        <v>102680.00250626566</v>
      </c>
      <c r="AY807" s="308"/>
      <c r="BA807" s="65">
        <f t="shared" ref="BA807" si="3160">+BC807-BC806</f>
        <v>1024343</v>
      </c>
      <c r="BB807" s="66"/>
      <c r="BC807" s="66">
        <v>1024850819</v>
      </c>
      <c r="BD807" s="66"/>
      <c r="BE807" s="66">
        <f t="shared" ref="BE807" si="3161">+D807</f>
        <v>87420</v>
      </c>
      <c r="BF807" s="66"/>
      <c r="BG807" s="144">
        <f t="shared" ref="BG807" si="3162">+BE807/BA807</f>
        <v>8.5342507343731541E-2</v>
      </c>
      <c r="BH807" s="66"/>
      <c r="BI807" s="170"/>
      <c r="BJ807" s="66"/>
      <c r="BK807" s="66"/>
      <c r="BL807" s="66"/>
      <c r="BM807" s="144"/>
      <c r="BN807" s="65">
        <f t="shared" ref="BN807" si="3163">+BC807/BW807</f>
        <v>1284274.209273183</v>
      </c>
      <c r="BO807" s="66"/>
      <c r="BP807" s="66">
        <f t="shared" ref="BP807" si="3164">+BP806+BE807</f>
        <v>73440899</v>
      </c>
      <c r="BQ807" s="66"/>
      <c r="BR807" s="435">
        <f t="shared" ref="BR807" si="3165">+BP807/BC807</f>
        <v>7.1660087144839374E-2</v>
      </c>
      <c r="BS807" s="66"/>
      <c r="BT807" s="75"/>
      <c r="BU807" s="170"/>
      <c r="BV807" s="1"/>
      <c r="BW807" s="61">
        <f t="shared" si="1544"/>
        <v>798</v>
      </c>
      <c r="BY807" s="56"/>
      <c r="BZ807" s="1"/>
      <c r="CA807" s="61"/>
    </row>
    <row r="808" spans="2:79" x14ac:dyDescent="0.3">
      <c r="B808" s="158">
        <f t="shared" si="2425"/>
        <v>44708</v>
      </c>
      <c r="C808" s="61"/>
      <c r="D808" s="17">
        <v>98249</v>
      </c>
      <c r="E808" s="16"/>
      <c r="F808" s="16"/>
      <c r="G808" s="16"/>
      <c r="H808" s="16">
        <f t="shared" ref="H808" si="3166">+H807+D808</f>
        <v>74446126</v>
      </c>
      <c r="I808" s="16"/>
      <c r="J808" s="436">
        <f t="shared" ref="J808" si="3167">+D808/H807</f>
        <v>1.3214768728365975E-3</v>
      </c>
      <c r="K808" s="16"/>
      <c r="L808" s="16"/>
      <c r="M808" s="16"/>
      <c r="N808" s="16">
        <f t="shared" ref="N808" si="3168">SUM(D802:D808)</f>
        <v>476021</v>
      </c>
      <c r="O808" s="16">
        <f t="shared" ref="O808" si="3169">+H808/BW808</f>
        <v>93174.12515644556</v>
      </c>
      <c r="P808" s="41"/>
      <c r="Q808" s="17">
        <f t="shared" ref="Q808" si="3170">SUM(D802:D808)</f>
        <v>476021</v>
      </c>
      <c r="R808" s="16"/>
      <c r="S808" s="60">
        <f t="shared" ref="S808" si="3171">+(Q808-Q801)/Q801</f>
        <v>-4.8287292596761518E-2</v>
      </c>
      <c r="T808" s="16"/>
      <c r="U808" s="41"/>
      <c r="V808" s="10">
        <f t="shared" si="558"/>
        <v>700</v>
      </c>
      <c r="W808" s="34">
        <v>263</v>
      </c>
      <c r="X808" s="33">
        <v>4256</v>
      </c>
      <c r="Y808" s="33"/>
      <c r="Z808" s="33">
        <f t="shared" ref="Z808" si="3172">SUM(W803:W808)</f>
        <v>1249</v>
      </c>
      <c r="AA808" s="33">
        <f t="shared" ref="AA808" si="3173">+AA807+W808</f>
        <v>897063</v>
      </c>
      <c r="AB808" s="33"/>
      <c r="AC808" s="46">
        <f t="shared" ref="AC808" si="3174">+AA808/H808</f>
        <v>1.204982781776986E-2</v>
      </c>
      <c r="AD808" s="33"/>
      <c r="AE808" s="33">
        <f t="shared" ref="AE808" si="3175">+AA808/BW808</f>
        <v>1122.7321652065082</v>
      </c>
      <c r="AF808" s="50"/>
      <c r="AG808" s="33"/>
      <c r="AH808" s="33"/>
      <c r="AI808" s="213"/>
      <c r="AJ808" s="50"/>
      <c r="AL808" s="23">
        <f t="shared" ref="AL808" si="3176">+AP808-AP807</f>
        <v>59581</v>
      </c>
      <c r="AM808" s="24"/>
      <c r="AN808" s="24"/>
      <c r="AO808" s="24">
        <v>178263</v>
      </c>
      <c r="AP808" s="24">
        <v>81998223</v>
      </c>
      <c r="AQ808" s="24">
        <v>20336656</v>
      </c>
      <c r="AR808" s="461">
        <f t="shared" ref="AR808" si="3177">+AL808/AP807</f>
        <v>7.2714165802259696E-4</v>
      </c>
      <c r="AS808" s="25"/>
      <c r="AT808" s="25"/>
      <c r="AU808" s="24"/>
      <c r="AV808" s="298">
        <f t="shared" ref="AV808" si="3178">+AP808/H808</f>
        <v>1.1014437876861449</v>
      </c>
      <c r="AW808" s="298"/>
      <c r="AX808" s="24">
        <f t="shared" ref="AX808" si="3179">+AP808/BW808</f>
        <v>102626.06132665832</v>
      </c>
      <c r="AY808" s="308"/>
      <c r="BA808" s="65">
        <f t="shared" ref="BA808" si="3180">+BC808-BC807</f>
        <v>3325086</v>
      </c>
      <c r="BB808" s="66"/>
      <c r="BC808" s="66">
        <v>1028175905</v>
      </c>
      <c r="BD808" s="66"/>
      <c r="BE808" s="66">
        <f t="shared" ref="BE808" si="3181">+D808</f>
        <v>98249</v>
      </c>
      <c r="BF808" s="66"/>
      <c r="BG808" s="144">
        <f t="shared" ref="BG808" si="3182">+BE808/BA808</f>
        <v>2.9547807184535979E-2</v>
      </c>
      <c r="BH808" s="66"/>
      <c r="BI808" s="170"/>
      <c r="BJ808" s="66"/>
      <c r="BK808" s="66"/>
      <c r="BL808" s="66"/>
      <c r="BM808" s="144"/>
      <c r="BN808" s="65">
        <f t="shared" ref="BN808" si="3183">+BC808/BW808</f>
        <v>1286828.4167709637</v>
      </c>
      <c r="BO808" s="66"/>
      <c r="BP808" s="66">
        <f t="shared" ref="BP808" si="3184">+BP807+BE808</f>
        <v>73539148</v>
      </c>
      <c r="BQ808" s="66"/>
      <c r="BR808" s="435">
        <f t="shared" ref="BR808" si="3185">+BP808/BC808</f>
        <v>7.152389745993902E-2</v>
      </c>
      <c r="BS808" s="66"/>
      <c r="BT808" s="75"/>
      <c r="BU808" s="170"/>
      <c r="BV808" s="1"/>
      <c r="BW808" s="61">
        <f t="shared" si="1544"/>
        <v>799</v>
      </c>
      <c r="BY808" s="56"/>
      <c r="BZ808" s="1"/>
      <c r="CA808" s="61"/>
    </row>
    <row r="809" spans="2:79" x14ac:dyDescent="0.3">
      <c r="B809" s="158">
        <f t="shared" si="2425"/>
        <v>44709</v>
      </c>
      <c r="C809" s="61"/>
      <c r="D809" s="17">
        <v>11595</v>
      </c>
      <c r="E809" s="16"/>
      <c r="F809" s="16"/>
      <c r="G809" s="16"/>
      <c r="H809" s="16">
        <f t="shared" ref="H809" si="3186">+H808+D809</f>
        <v>74457721</v>
      </c>
      <c r="I809" s="16"/>
      <c r="J809" s="436">
        <f t="shared" ref="J809" si="3187">+D809/H808</f>
        <v>1.5575021324816822E-4</v>
      </c>
      <c r="K809" s="16"/>
      <c r="L809" s="16"/>
      <c r="M809" s="16"/>
      <c r="N809" s="16">
        <f t="shared" ref="N809" si="3188">SUM(D803:D809)</f>
        <v>447384</v>
      </c>
      <c r="O809" s="16">
        <f t="shared" ref="O809" si="3189">+H809/BW809</f>
        <v>93072.151249999995</v>
      </c>
      <c r="P809" s="41"/>
      <c r="Q809" s="17">
        <f t="shared" ref="Q809" si="3190">SUM(D803:D809)</f>
        <v>447384</v>
      </c>
      <c r="R809" s="16"/>
      <c r="S809" s="60">
        <f t="shared" ref="S809" si="3191">+(Q809-Q802)/Q802</f>
        <v>-0.1290354608548373</v>
      </c>
      <c r="T809" s="16"/>
      <c r="U809" s="41"/>
      <c r="V809" s="10">
        <f t="shared" si="558"/>
        <v>701</v>
      </c>
      <c r="W809" s="34">
        <v>41</v>
      </c>
      <c r="X809" s="33">
        <v>4256</v>
      </c>
      <c r="Y809" s="33"/>
      <c r="Z809" s="33">
        <f t="shared" ref="Z809" si="3192">SUM(W804:W809)</f>
        <v>1268</v>
      </c>
      <c r="AA809" s="33">
        <f t="shared" ref="AA809" si="3193">+AA808+W809</f>
        <v>897104</v>
      </c>
      <c r="AB809" s="33"/>
      <c r="AC809" s="46">
        <f t="shared" ref="AC809" si="3194">+AA809/H809</f>
        <v>1.204850199484349E-2</v>
      </c>
      <c r="AD809" s="33"/>
      <c r="AE809" s="33">
        <f t="shared" ref="AE809" si="3195">+AA809/BW809</f>
        <v>1121.3800000000001</v>
      </c>
      <c r="AF809" s="50"/>
      <c r="AG809" s="33"/>
      <c r="AH809" s="33"/>
      <c r="AI809" s="213"/>
      <c r="AJ809" s="50"/>
      <c r="AL809" s="23">
        <f t="shared" ref="AL809" si="3196">+AP809-AP808</f>
        <v>7080</v>
      </c>
      <c r="AM809" s="24"/>
      <c r="AN809" s="24"/>
      <c r="AO809" s="24">
        <v>178263</v>
      </c>
      <c r="AP809" s="24">
        <v>82005303</v>
      </c>
      <c r="AQ809" s="24">
        <v>20336656</v>
      </c>
      <c r="AR809" s="461">
        <f t="shared" ref="AR809" si="3197">+AL809/AP808</f>
        <v>8.6343334537871631E-5</v>
      </c>
      <c r="AS809" s="25"/>
      <c r="AT809" s="25"/>
      <c r="AU809" s="24"/>
      <c r="AV809" s="298">
        <f t="shared" ref="AV809" si="3198">+AP809/H809</f>
        <v>1.1013673518156699</v>
      </c>
      <c r="AW809" s="298"/>
      <c r="AX809" s="24">
        <f t="shared" ref="AX809" si="3199">+AP809/BW809</f>
        <v>102506.62875</v>
      </c>
      <c r="AY809" s="308"/>
      <c r="BA809" s="65">
        <f t="shared" ref="BA809" si="3200">+BC809-BC808</f>
        <v>109231</v>
      </c>
      <c r="BB809" s="66"/>
      <c r="BC809" s="66">
        <v>1028285136</v>
      </c>
      <c r="BD809" s="66"/>
      <c r="BE809" s="66">
        <f t="shared" ref="BE809" si="3201">+D809</f>
        <v>11595</v>
      </c>
      <c r="BF809" s="66"/>
      <c r="BG809" s="144">
        <f t="shared" ref="BG809" si="3202">+BE809/BA809</f>
        <v>0.10615118418763904</v>
      </c>
      <c r="BH809" s="66"/>
      <c r="BI809" s="170"/>
      <c r="BJ809" s="66"/>
      <c r="BK809" s="66"/>
      <c r="BL809" s="66"/>
      <c r="BM809" s="144"/>
      <c r="BN809" s="65">
        <f t="shared" ref="BN809" si="3203">+BC809/BW809</f>
        <v>1285356.42</v>
      </c>
      <c r="BO809" s="66"/>
      <c r="BP809" s="66">
        <f t="shared" ref="BP809" si="3204">+BP808+BE809</f>
        <v>73550743</v>
      </c>
      <c r="BQ809" s="66"/>
      <c r="BR809" s="435">
        <f t="shared" ref="BR809" si="3205">+BP809/BC809</f>
        <v>7.1527575791001219E-2</v>
      </c>
      <c r="BS809" s="66"/>
      <c r="BT809" s="75"/>
      <c r="BU809" s="170"/>
      <c r="BV809" s="1"/>
      <c r="BW809" s="61">
        <f t="shared" si="1544"/>
        <v>800</v>
      </c>
      <c r="BY809" s="56"/>
      <c r="BZ809" s="1"/>
      <c r="CA809" s="61"/>
    </row>
    <row r="810" spans="2:79" x14ac:dyDescent="0.3">
      <c r="B810" s="347">
        <f t="shared" si="2425"/>
        <v>44710</v>
      </c>
      <c r="C810" s="61"/>
      <c r="D810" s="17">
        <v>4772</v>
      </c>
      <c r="E810" s="16"/>
      <c r="F810" s="16"/>
      <c r="G810" s="16"/>
      <c r="H810" s="16">
        <f t="shared" ref="H810" si="3206">+H809+D810</f>
        <v>74462493</v>
      </c>
      <c r="I810" s="16"/>
      <c r="J810" s="436">
        <f t="shared" ref="J810" si="3207">+D810/H809</f>
        <v>6.4090062600761046E-5</v>
      </c>
      <c r="K810" s="16"/>
      <c r="L810" s="16"/>
      <c r="M810" s="16"/>
      <c r="N810" s="16">
        <f t="shared" ref="N810" si="3208">SUM(D804:D810)</f>
        <v>432177</v>
      </c>
      <c r="O810" s="16">
        <f t="shared" ref="O810" si="3209">+H810/BW810</f>
        <v>92961.913857677908</v>
      </c>
      <c r="P810" s="41"/>
      <c r="Q810" s="17">
        <f t="shared" ref="Q810" si="3210">SUM(D804:D810)</f>
        <v>432177</v>
      </c>
      <c r="R810" s="16"/>
      <c r="S810" s="60">
        <f t="shared" ref="S810" si="3211">+(Q810-Q803)/Q803</f>
        <v>-0.15637883378099818</v>
      </c>
      <c r="T810" s="16"/>
      <c r="U810" s="41"/>
      <c r="V810" s="10">
        <f t="shared" si="558"/>
        <v>702</v>
      </c>
      <c r="W810" s="34">
        <v>14</v>
      </c>
      <c r="X810" s="33">
        <v>4256</v>
      </c>
      <c r="Y810" s="33"/>
      <c r="Z810" s="33">
        <f t="shared" ref="Z810" si="3212">SUM(W805:W810)</f>
        <v>1176</v>
      </c>
      <c r="AA810" s="33">
        <f t="shared" ref="AA810" si="3213">+AA809+W810</f>
        <v>897118</v>
      </c>
      <c r="AB810" s="33"/>
      <c r="AC810" s="46">
        <f t="shared" ref="AC810" si="3214">+AA810/H810</f>
        <v>1.2047917869201613E-2</v>
      </c>
      <c r="AD810" s="33"/>
      <c r="AE810" s="33">
        <f t="shared" ref="AE810" si="3215">+AA810/BW810</f>
        <v>1119.9975031210986</v>
      </c>
      <c r="AF810" s="50"/>
      <c r="AG810" s="33"/>
      <c r="AH810" s="33"/>
      <c r="AI810" s="213"/>
      <c r="AJ810" s="50"/>
      <c r="AL810" s="23">
        <f t="shared" ref="AL810" si="3216">+AP810-AP809</f>
        <v>103049</v>
      </c>
      <c r="AM810" s="24"/>
      <c r="AN810" s="24"/>
      <c r="AO810" s="24">
        <v>178263</v>
      </c>
      <c r="AP810" s="24">
        <v>82108352</v>
      </c>
      <c r="AQ810" s="24">
        <v>20336656</v>
      </c>
      <c r="AR810" s="461">
        <f t="shared" ref="AR810" si="3217">+AL810/AP809</f>
        <v>1.2566138558136905E-3</v>
      </c>
      <c r="AS810" s="25"/>
      <c r="AT810" s="25"/>
      <c r="AU810" s="24"/>
      <c r="AV810" s="298">
        <f t="shared" ref="AV810" si="3218">+AP810/H810</f>
        <v>1.1026806744168505</v>
      </c>
      <c r="AW810" s="298"/>
      <c r="AX810" s="24">
        <f t="shared" ref="AX810" si="3219">+AP810/BW810</f>
        <v>102507.30586766542</v>
      </c>
      <c r="AY810" s="308"/>
      <c r="BA810" s="65">
        <f t="shared" ref="BA810" si="3220">+BC810-BC809</f>
        <v>4984</v>
      </c>
      <c r="BB810" s="66"/>
      <c r="BC810" s="66">
        <v>1028290120</v>
      </c>
      <c r="BD810" s="66"/>
      <c r="BE810" s="66">
        <f t="shared" ref="BE810" si="3221">+D810</f>
        <v>4772</v>
      </c>
      <c r="BF810" s="66"/>
      <c r="BG810" s="144">
        <f t="shared" ref="BG810" si="3222">+BE810/BA810</f>
        <v>0.9574638844301766</v>
      </c>
      <c r="BH810" s="66"/>
      <c r="BI810" s="170"/>
      <c r="BJ810" s="66"/>
      <c r="BK810" s="66"/>
      <c r="BL810" s="66"/>
      <c r="BM810" s="144"/>
      <c r="BN810" s="65">
        <f t="shared" ref="BN810" si="3223">+BC810/BW810</f>
        <v>1283757.9525593009</v>
      </c>
      <c r="BO810" s="66"/>
      <c r="BP810" s="66">
        <f t="shared" ref="BP810" si="3224">+BP809+BE810</f>
        <v>73555515</v>
      </c>
      <c r="BQ810" s="66"/>
      <c r="BR810" s="435">
        <f t="shared" ref="BR810" si="3225">+BP810/BC810</f>
        <v>7.1531869818996216E-2</v>
      </c>
      <c r="BS810" s="66"/>
      <c r="BT810" s="75"/>
      <c r="BU810" s="170"/>
      <c r="BV810" s="1"/>
      <c r="BW810" s="61">
        <f t="shared" si="1544"/>
        <v>801</v>
      </c>
      <c r="BY810" s="56"/>
      <c r="BZ810" s="1"/>
      <c r="CA810" s="61"/>
    </row>
    <row r="811" spans="2:79" x14ac:dyDescent="0.3">
      <c r="B811" s="158">
        <f t="shared" si="2425"/>
        <v>44711</v>
      </c>
      <c r="C811" s="61"/>
      <c r="D811" s="17">
        <v>6865</v>
      </c>
      <c r="E811" s="16"/>
      <c r="F811" s="16"/>
      <c r="G811" s="16"/>
      <c r="H811" s="16">
        <f t="shared" ref="H811" si="3226">+H810+D811</f>
        <v>74469358</v>
      </c>
      <c r="I811" s="16"/>
      <c r="J811" s="436">
        <f t="shared" ref="J811" si="3227">+D811/H810</f>
        <v>9.2194066078340938E-5</v>
      </c>
      <c r="K811" s="16"/>
      <c r="L811" s="16"/>
      <c r="M811" s="16"/>
      <c r="N811" s="16">
        <f t="shared" ref="N811" si="3228">SUM(D805:D811)</f>
        <v>385755</v>
      </c>
      <c r="O811" s="16">
        <f t="shared" ref="O811" si="3229">+H811/BW811</f>
        <v>92854.561097256854</v>
      </c>
      <c r="P811" s="41"/>
      <c r="Q811" s="17">
        <f t="shared" ref="Q811" si="3230">SUM(D805:D811)</f>
        <v>385755</v>
      </c>
      <c r="R811" s="16"/>
      <c r="S811" s="60">
        <f t="shared" ref="S811" si="3231">+(Q811-Q804)/Q804</f>
        <v>-0.22947934851650481</v>
      </c>
      <c r="T811" s="16"/>
      <c r="U811" s="41"/>
      <c r="V811" s="10">
        <f t="shared" si="558"/>
        <v>703</v>
      </c>
      <c r="W811" s="34">
        <v>38</v>
      </c>
      <c r="X811" s="33">
        <v>4256</v>
      </c>
      <c r="Y811" s="33"/>
      <c r="Z811" s="33">
        <f t="shared" ref="Z811" si="3232">SUM(W806:W811)</f>
        <v>890</v>
      </c>
      <c r="AA811" s="33">
        <f t="shared" ref="AA811" si="3233">+AA810+W811</f>
        <v>897156</v>
      </c>
      <c r="AB811" s="33"/>
      <c r="AC811" s="46">
        <f t="shared" ref="AC811" si="3234">+AA811/H811</f>
        <v>1.204731750205232E-2</v>
      </c>
      <c r="AD811" s="33"/>
      <c r="AE811" s="33">
        <f t="shared" ref="AE811" si="3235">+AA811/BW811</f>
        <v>1118.6483790523691</v>
      </c>
      <c r="AF811" s="50"/>
      <c r="AG811" s="33"/>
      <c r="AH811" s="33"/>
      <c r="AI811" s="213"/>
      <c r="AJ811" s="50"/>
      <c r="AL811" s="23">
        <f t="shared" ref="AL811" si="3236">+AP811-AP810</f>
        <v>43479</v>
      </c>
      <c r="AM811" s="24"/>
      <c r="AN811" s="24"/>
      <c r="AO811" s="24">
        <v>178263</v>
      </c>
      <c r="AP811" s="24">
        <v>82151831</v>
      </c>
      <c r="AQ811" s="24">
        <v>20336656</v>
      </c>
      <c r="AR811" s="461">
        <f t="shared" ref="AR811" si="3237">+AL811/AP810</f>
        <v>5.2953200181146004E-4</v>
      </c>
      <c r="AS811" s="25"/>
      <c r="AT811" s="25"/>
      <c r="AU811" s="24"/>
      <c r="AV811" s="298">
        <f t="shared" ref="AV811" si="3238">+AP811/H811</f>
        <v>1.1031628740508277</v>
      </c>
      <c r="AW811" s="298"/>
      <c r="AX811" s="24">
        <f t="shared" ref="AX811" si="3239">+AP811/BW811</f>
        <v>102433.70448877805</v>
      </c>
      <c r="AY811" s="308"/>
      <c r="BA811" s="65">
        <f t="shared" ref="BA811" si="3240">+BC811-BC810</f>
        <v>102807</v>
      </c>
      <c r="BB811" s="66"/>
      <c r="BC811" s="66">
        <v>1028392927</v>
      </c>
      <c r="BD811" s="66"/>
      <c r="BE811" s="66">
        <f t="shared" ref="BE811" si="3241">+D811</f>
        <v>6865</v>
      </c>
      <c r="BF811" s="66"/>
      <c r="BG811" s="144">
        <f t="shared" ref="BG811" si="3242">+BE811/BA811</f>
        <v>6.6775608664779634E-2</v>
      </c>
      <c r="BH811" s="66"/>
      <c r="BI811" s="170"/>
      <c r="BJ811" s="66"/>
      <c r="BK811" s="66"/>
      <c r="BL811" s="66"/>
      <c r="BM811" s="144"/>
      <c r="BN811" s="65">
        <f t="shared" ref="BN811" si="3243">+BC811/BW811</f>
        <v>1282285.4451371571</v>
      </c>
      <c r="BO811" s="66"/>
      <c r="BP811" s="66">
        <f t="shared" ref="BP811" si="3244">+BP810+BE811</f>
        <v>73562380</v>
      </c>
      <c r="BQ811" s="66"/>
      <c r="BR811" s="435">
        <f t="shared" ref="BR811" si="3245">+BP811/BC811</f>
        <v>7.1531394342232768E-2</v>
      </c>
      <c r="BS811" s="66"/>
      <c r="BT811" s="75"/>
      <c r="BU811" s="170"/>
      <c r="BV811" s="1"/>
      <c r="BW811" s="61">
        <f t="shared" si="1544"/>
        <v>802</v>
      </c>
      <c r="BY811" s="56"/>
      <c r="BZ811" s="1"/>
      <c r="CA811" s="61"/>
    </row>
    <row r="812" spans="2:79" x14ac:dyDescent="0.3">
      <c r="B812" s="158">
        <f t="shared" si="2425"/>
        <v>44712</v>
      </c>
      <c r="C812" s="61"/>
      <c r="D812" s="17">
        <v>44016</v>
      </c>
      <c r="E812" s="16"/>
      <c r="F812" s="16"/>
      <c r="G812" s="16"/>
      <c r="H812" s="16">
        <f t="shared" ref="H812" si="3246">+H811+D812</f>
        <v>74513374</v>
      </c>
      <c r="I812" s="16"/>
      <c r="J812" s="436">
        <f t="shared" ref="J812" si="3247">+D812/H811</f>
        <v>5.9106189689455899E-4</v>
      </c>
      <c r="K812" s="16"/>
      <c r="L812" s="16"/>
      <c r="M812" s="16"/>
      <c r="N812" s="16">
        <f t="shared" ref="N812" si="3248">SUM(D806:D812)</f>
        <v>354138</v>
      </c>
      <c r="O812" s="16">
        <f t="shared" ref="O812" si="3249">+H812/BW812</f>
        <v>92793.740971357416</v>
      </c>
      <c r="P812" s="41"/>
      <c r="Q812" s="17">
        <f t="shared" ref="Q812" si="3250">SUM(D806:D812)</f>
        <v>354138</v>
      </c>
      <c r="R812" s="16"/>
      <c r="S812" s="60">
        <f t="shared" ref="S812" si="3251">+(Q812-Q805)/Q805</f>
        <v>-0.29300648623397157</v>
      </c>
      <c r="T812" s="16"/>
      <c r="U812" s="41"/>
      <c r="V812" s="10">
        <f t="shared" si="558"/>
        <v>704</v>
      </c>
      <c r="W812" s="34">
        <v>129</v>
      </c>
      <c r="X812" s="33">
        <v>4256</v>
      </c>
      <c r="Y812" s="33"/>
      <c r="Z812" s="33">
        <f t="shared" ref="Z812" si="3252">SUM(W807:W812)</f>
        <v>702</v>
      </c>
      <c r="AA812" s="33">
        <f t="shared" ref="AA812" si="3253">+AA811+W812</f>
        <v>897285</v>
      </c>
      <c r="AB812" s="33"/>
      <c r="AC812" s="46">
        <f t="shared" ref="AC812" si="3254">+AA812/H812</f>
        <v>1.2041932230850263E-2</v>
      </c>
      <c r="AD812" s="33"/>
      <c r="AE812" s="33">
        <f t="shared" ref="AE812" si="3255">+AA812/BW812</f>
        <v>1117.4159402241594</v>
      </c>
      <c r="AF812" s="50"/>
      <c r="AG812" s="33"/>
      <c r="AH812" s="33"/>
      <c r="AI812" s="213"/>
      <c r="AJ812" s="50"/>
      <c r="AL812" s="23">
        <f t="shared" ref="AL812" si="3256">+AP812-AP811</f>
        <v>87776</v>
      </c>
      <c r="AM812" s="24"/>
      <c r="AN812" s="24"/>
      <c r="AO812" s="24">
        <v>178263</v>
      </c>
      <c r="AP812" s="24">
        <v>82239607</v>
      </c>
      <c r="AQ812" s="24">
        <v>20336656</v>
      </c>
      <c r="AR812" s="461">
        <f t="shared" ref="AR812" si="3257">+AL812/AP811</f>
        <v>1.0684606652285084E-3</v>
      </c>
      <c r="AS812" s="25"/>
      <c r="AT812" s="25"/>
      <c r="AU812" s="24"/>
      <c r="AV812" s="298">
        <f t="shared" ref="AV812" si="3258">+AP812/H812</f>
        <v>1.1036892115501307</v>
      </c>
      <c r="AW812" s="298"/>
      <c r="AX812" s="24">
        <f t="shared" ref="AX812" si="3259">+AP812/BW812</f>
        <v>102415.45080946451</v>
      </c>
      <c r="AY812" s="308"/>
      <c r="BA812" s="65">
        <f t="shared" ref="BA812" si="3260">+BC812-BC811</f>
        <v>1136704</v>
      </c>
      <c r="BB812" s="66"/>
      <c r="BC812" s="66">
        <v>1029529631</v>
      </c>
      <c r="BD812" s="66"/>
      <c r="BE812" s="66">
        <f t="shared" ref="BE812" si="3261">+D812</f>
        <v>44016</v>
      </c>
      <c r="BF812" s="66"/>
      <c r="BG812" s="144">
        <f t="shared" ref="BG812" si="3262">+BE812/BA812</f>
        <v>3.8722481842238615E-2</v>
      </c>
      <c r="BH812" s="66"/>
      <c r="BI812" s="170"/>
      <c r="BJ812" s="66"/>
      <c r="BK812" s="66"/>
      <c r="BL812" s="66"/>
      <c r="BM812" s="144"/>
      <c r="BN812" s="65">
        <f t="shared" ref="BN812" si="3263">+BC812/BW812</f>
        <v>1282104.1481942714</v>
      </c>
      <c r="BO812" s="66"/>
      <c r="BP812" s="66">
        <f t="shared" ref="BP812" si="3264">+BP811+BE812</f>
        <v>73606396</v>
      </c>
      <c r="BQ812" s="66"/>
      <c r="BR812" s="435">
        <f t="shared" ref="BR812" si="3265">+BP812/BC812</f>
        <v>7.1495170011284498E-2</v>
      </c>
      <c r="BS812" s="66"/>
      <c r="BT812" s="75"/>
      <c r="BU812" s="170"/>
      <c r="BV812" s="1"/>
      <c r="BW812" s="61">
        <f t="shared" si="1544"/>
        <v>803</v>
      </c>
      <c r="BY812" s="56"/>
      <c r="BZ812" s="1"/>
      <c r="CA812" s="61"/>
    </row>
    <row r="813" spans="2:79" x14ac:dyDescent="0.3">
      <c r="B813" s="158">
        <f t="shared" si="2425"/>
        <v>44713</v>
      </c>
      <c r="C813" s="61"/>
      <c r="D813" s="17">
        <v>95004</v>
      </c>
      <c r="E813" s="16"/>
      <c r="F813" s="16"/>
      <c r="G813" s="16"/>
      <c r="H813" s="16">
        <f t="shared" ref="H813" si="3266">+H812+D813</f>
        <v>74608378</v>
      </c>
      <c r="I813" s="16"/>
      <c r="J813" s="436">
        <f t="shared" ref="J813" si="3267">+D813/H812</f>
        <v>1.2749925939469604E-3</v>
      </c>
      <c r="K813" s="16"/>
      <c r="L813" s="16"/>
      <c r="M813" s="16"/>
      <c r="N813" s="16">
        <f t="shared" ref="N813" si="3268">SUM(D807:D813)</f>
        <v>347921</v>
      </c>
      <c r="O813" s="16">
        <f t="shared" ref="O813" si="3269">+H813/BW813</f>
        <v>92796.490049751243</v>
      </c>
      <c r="P813" s="41"/>
      <c r="Q813" s="17">
        <f t="shared" ref="Q813" si="3270">SUM(D807:D813)</f>
        <v>347921</v>
      </c>
      <c r="R813" s="16"/>
      <c r="S813" s="60">
        <f t="shared" ref="S813" si="3271">+(Q813-Q806)/Q806</f>
        <v>-0.30160186281791357</v>
      </c>
      <c r="T813" s="16"/>
      <c r="U813" s="41"/>
      <c r="V813" s="10">
        <f t="shared" si="558"/>
        <v>705</v>
      </c>
      <c r="W813" s="34">
        <v>347</v>
      </c>
      <c r="X813" s="33">
        <v>4256</v>
      </c>
      <c r="Y813" s="33"/>
      <c r="Z813" s="33">
        <f t="shared" ref="Z813" si="3272">SUM(W808:W813)</f>
        <v>832</v>
      </c>
      <c r="AA813" s="33">
        <f t="shared" ref="AA813" si="3273">+AA812+W813</f>
        <v>897632</v>
      </c>
      <c r="AB813" s="33"/>
      <c r="AC813" s="46">
        <f t="shared" ref="AC813" si="3274">+AA813/H813</f>
        <v>1.2031249359153741E-2</v>
      </c>
      <c r="AD813" s="33"/>
      <c r="AE813" s="33">
        <f t="shared" ref="AE813" si="3275">+AA813/BW813</f>
        <v>1116.4577114427861</v>
      </c>
      <c r="AF813" s="50"/>
      <c r="AG813" s="33"/>
      <c r="AH813" s="33"/>
      <c r="AI813" s="213"/>
      <c r="AJ813" s="50"/>
      <c r="AL813" s="23">
        <f t="shared" ref="AL813" si="3276">+AP813-AP812</f>
        <v>63483</v>
      </c>
      <c r="AM813" s="24"/>
      <c r="AN813" s="24"/>
      <c r="AO813" s="24">
        <v>178263</v>
      </c>
      <c r="AP813" s="24">
        <v>82303090</v>
      </c>
      <c r="AQ813" s="24">
        <v>20336656</v>
      </c>
      <c r="AR813" s="461">
        <f t="shared" ref="AR813" si="3277">+AL813/AP812</f>
        <v>7.7192732693870966E-4</v>
      </c>
      <c r="AS813" s="25"/>
      <c r="AT813" s="25"/>
      <c r="AU813" s="24"/>
      <c r="AV813" s="298">
        <f t="shared" ref="AV813" si="3278">+AP813/H813</f>
        <v>1.1031346908520112</v>
      </c>
      <c r="AW813" s="298"/>
      <c r="AX813" s="24">
        <f t="shared" ref="AX813" si="3279">+AP813/BW813</f>
        <v>102367.02736318408</v>
      </c>
      <c r="AY813" s="308"/>
      <c r="BA813" s="65">
        <f t="shared" ref="BA813" si="3280">+BC813-BC812</f>
        <v>1178499</v>
      </c>
      <c r="BB813" s="66"/>
      <c r="BC813" s="66">
        <v>1030708130</v>
      </c>
      <c r="BD813" s="66"/>
      <c r="BE813" s="66">
        <f t="shared" ref="BE813" si="3281">+D813</f>
        <v>95004</v>
      </c>
      <c r="BF813" s="66"/>
      <c r="BG813" s="144">
        <f t="shared" ref="BG813" si="3282">+BE813/BA813</f>
        <v>8.0614408667296286E-2</v>
      </c>
      <c r="BH813" s="66"/>
      <c r="BI813" s="170"/>
      <c r="BJ813" s="66"/>
      <c r="BK813" s="66"/>
      <c r="BL813" s="66"/>
      <c r="BM813" s="144"/>
      <c r="BN813" s="65">
        <f t="shared" ref="BN813" si="3283">+BC813/BW813</f>
        <v>1281975.2860696518</v>
      </c>
      <c r="BO813" s="66"/>
      <c r="BP813" s="66">
        <f t="shared" ref="BP813" si="3284">+BP812+BE813</f>
        <v>73701400</v>
      </c>
      <c r="BQ813" s="66"/>
      <c r="BR813" s="435">
        <f t="shared" ref="BR813" si="3285">+BP813/BC813</f>
        <v>7.1505596836613672E-2</v>
      </c>
      <c r="BS813" s="66"/>
      <c r="BT813" s="75"/>
      <c r="BU813" s="170"/>
      <c r="BV813" s="1"/>
      <c r="BW813" s="61">
        <f t="shared" si="1544"/>
        <v>804</v>
      </c>
      <c r="BY813" s="56"/>
      <c r="BZ813" s="1"/>
      <c r="CA813" s="61"/>
    </row>
    <row r="814" spans="2:79" x14ac:dyDescent="0.3">
      <c r="B814" s="158">
        <f t="shared" si="2425"/>
        <v>44714</v>
      </c>
      <c r="C814" s="61"/>
      <c r="D814" s="17">
        <v>82896</v>
      </c>
      <c r="E814" s="16"/>
      <c r="F814" s="16"/>
      <c r="G814" s="16"/>
      <c r="H814" s="16">
        <f t="shared" ref="H814" si="3286">+H813+D814</f>
        <v>74691274</v>
      </c>
      <c r="I814" s="16"/>
      <c r="J814" s="436">
        <f t="shared" ref="J814" si="3287">+D814/H813</f>
        <v>1.1110816535912361E-3</v>
      </c>
      <c r="K814" s="16"/>
      <c r="L814" s="16"/>
      <c r="M814" s="16"/>
      <c r="N814" s="16">
        <f t="shared" ref="N814" si="3288">SUM(D808:D814)</f>
        <v>343397</v>
      </c>
      <c r="O814" s="16">
        <f t="shared" ref="O814" si="3289">+H814/BW814</f>
        <v>92784.191304347827</v>
      </c>
      <c r="P814" s="41"/>
      <c r="Q814" s="17">
        <f t="shared" ref="Q814" si="3290">SUM(D808:D814)</f>
        <v>343397</v>
      </c>
      <c r="R814" s="16"/>
      <c r="S814" s="60">
        <f t="shared" ref="S814" si="3291">+(Q814-Q807)/Q807</f>
        <v>-0.27923943774308041</v>
      </c>
      <c r="T814" s="16"/>
      <c r="U814" s="41"/>
      <c r="V814" s="10">
        <f t="shared" si="558"/>
        <v>706</v>
      </c>
      <c r="W814" s="34">
        <v>216</v>
      </c>
      <c r="X814" s="33">
        <v>4256</v>
      </c>
      <c r="Y814" s="33"/>
      <c r="Z814" s="33">
        <f t="shared" ref="Z814" si="3292">SUM(W809:W814)</f>
        <v>785</v>
      </c>
      <c r="AA814" s="33">
        <f t="shared" ref="AA814" si="3293">+AA813+W814</f>
        <v>897848</v>
      </c>
      <c r="AB814" s="33"/>
      <c r="AC814" s="46">
        <f t="shared" ref="AC814" si="3294">+AA814/H814</f>
        <v>1.2020788398923279E-2</v>
      </c>
      <c r="AD814" s="33"/>
      <c r="AE814" s="33">
        <f t="shared" ref="AE814" si="3295">+AA814/BW814</f>
        <v>1115.3391304347826</v>
      </c>
      <c r="AF814" s="50"/>
      <c r="AG814" s="33"/>
      <c r="AH814" s="33"/>
      <c r="AI814" s="213"/>
      <c r="AJ814" s="50"/>
      <c r="AL814" s="23">
        <f t="shared" ref="AL814" si="3296">+AP814-AP813</f>
        <v>91094</v>
      </c>
      <c r="AM814" s="24"/>
      <c r="AN814" s="24"/>
      <c r="AO814" s="24">
        <v>178263</v>
      </c>
      <c r="AP814" s="24">
        <v>82394184</v>
      </c>
      <c r="AQ814" s="24">
        <v>20336656</v>
      </c>
      <c r="AR814" s="461">
        <f t="shared" ref="AR814" si="3297">+AL814/AP813</f>
        <v>1.1068114210535716E-3</v>
      </c>
      <c r="AS814" s="25"/>
      <c r="AT814" s="25"/>
      <c r="AU814" s="24"/>
      <c r="AV814" s="298">
        <f t="shared" ref="AV814" si="3298">+AP814/H814</f>
        <v>1.1031299854384597</v>
      </c>
      <c r="AW814" s="298"/>
      <c r="AX814" s="24">
        <f t="shared" ref="AX814" si="3299">+AP814/BW814</f>
        <v>102353.02360248448</v>
      </c>
      <c r="AY814" s="308"/>
      <c r="BA814" s="65">
        <f t="shared" ref="BA814" si="3300">+BC814-BC813</f>
        <v>602413</v>
      </c>
      <c r="BB814" s="66"/>
      <c r="BC814" s="66">
        <v>1031310543</v>
      </c>
      <c r="BD814" s="66"/>
      <c r="BE814" s="66">
        <f t="shared" ref="BE814" si="3301">+D814</f>
        <v>82896</v>
      </c>
      <c r="BF814" s="66"/>
      <c r="BG814" s="144">
        <f t="shared" ref="BG814" si="3302">+BE814/BA814</f>
        <v>0.13760659215521578</v>
      </c>
      <c r="BH814" s="66"/>
      <c r="BI814" s="170"/>
      <c r="BJ814" s="66"/>
      <c r="BK814" s="66"/>
      <c r="BL814" s="66"/>
      <c r="BM814" s="144"/>
      <c r="BN814" s="65">
        <f t="shared" ref="BN814" si="3303">+BC814/BW814</f>
        <v>1281131.1093167702</v>
      </c>
      <c r="BO814" s="66"/>
      <c r="BP814" s="66">
        <f t="shared" ref="BP814" si="3304">+BP813+BE814</f>
        <v>73784296</v>
      </c>
      <c r="BQ814" s="66"/>
      <c r="BR814" s="435">
        <f t="shared" ref="BR814" si="3305">+BP814/BC814</f>
        <v>7.1544207999044956E-2</v>
      </c>
      <c r="BS814" s="66"/>
      <c r="BT814" s="75"/>
      <c r="BU814" s="170"/>
      <c r="BV814" s="1"/>
      <c r="BW814" s="61">
        <f t="shared" si="1544"/>
        <v>805</v>
      </c>
      <c r="BY814" s="56"/>
      <c r="BZ814" s="1"/>
      <c r="CA814" s="61"/>
    </row>
    <row r="815" spans="2:79" x14ac:dyDescent="0.3">
      <c r="B815" s="158">
        <f t="shared" si="2425"/>
        <v>44715</v>
      </c>
      <c r="C815" s="61"/>
      <c r="D815" s="17">
        <v>103221</v>
      </c>
      <c r="E815" s="16"/>
      <c r="F815" s="16"/>
      <c r="G815" s="16"/>
      <c r="H815" s="16">
        <f t="shared" ref="H815" si="3306">+H814+D815</f>
        <v>74794495</v>
      </c>
      <c r="I815" s="16"/>
      <c r="J815" s="436">
        <f t="shared" ref="J815" si="3307">+D815/H814</f>
        <v>1.3819686620956553E-3</v>
      </c>
      <c r="K815" s="16"/>
      <c r="L815" s="16"/>
      <c r="M815" s="16"/>
      <c r="N815" s="16">
        <f t="shared" ref="N815" si="3308">SUM(D809:D815)</f>
        <v>348369</v>
      </c>
      <c r="O815" s="16">
        <f t="shared" ref="O815" si="3309">+H815/BW815</f>
        <v>92797.140198511173</v>
      </c>
      <c r="P815" s="41"/>
      <c r="Q815" s="17">
        <f t="shared" ref="Q815" si="3310">SUM(D809:D815)</f>
        <v>348369</v>
      </c>
      <c r="R815" s="16"/>
      <c r="S815" s="60">
        <f t="shared" ref="S815" si="3311">+(Q815-Q808)/Q808</f>
        <v>-0.26816463979530314</v>
      </c>
      <c r="T815" s="16"/>
      <c r="U815" s="41"/>
      <c r="V815" s="10">
        <f t="shared" si="558"/>
        <v>707</v>
      </c>
      <c r="W815" s="34">
        <v>316</v>
      </c>
      <c r="X815" s="33">
        <v>4256</v>
      </c>
      <c r="Y815" s="33"/>
      <c r="Z815" s="33">
        <f t="shared" ref="Z815" si="3312">SUM(W810:W815)</f>
        <v>1060</v>
      </c>
      <c r="AA815" s="33">
        <f t="shared" ref="AA815" si="3313">+AA814+W815</f>
        <v>898164</v>
      </c>
      <c r="AB815" s="33"/>
      <c r="AC815" s="46">
        <f t="shared" ref="AC815" si="3314">+AA815/H815</f>
        <v>1.2008423881998267E-2</v>
      </c>
      <c r="AD815" s="33"/>
      <c r="AE815" s="33">
        <f t="shared" ref="AE815" si="3315">+AA815/BW815</f>
        <v>1114.347394540943</v>
      </c>
      <c r="AF815" s="50"/>
      <c r="AG815" s="33"/>
      <c r="AH815" s="33"/>
      <c r="AI815" s="213"/>
      <c r="AJ815" s="50"/>
      <c r="AL815" s="23">
        <f t="shared" ref="AL815" si="3316">+AP815-AP814</f>
        <v>69322</v>
      </c>
      <c r="AM815" s="24"/>
      <c r="AN815" s="24"/>
      <c r="AO815" s="24">
        <v>178263</v>
      </c>
      <c r="AP815" s="24">
        <v>82463506</v>
      </c>
      <c r="AQ815" s="24">
        <v>20336656</v>
      </c>
      <c r="AR815" s="461">
        <f t="shared" ref="AR815" si="3317">+AL815/AP814</f>
        <v>8.4134579207678054E-4</v>
      </c>
      <c r="AS815" s="25"/>
      <c r="AT815" s="25"/>
      <c r="AU815" s="24"/>
      <c r="AV815" s="298">
        <f t="shared" ref="AV815" si="3318">+AP815/H815</f>
        <v>1.102534431177054</v>
      </c>
      <c r="AW815" s="298"/>
      <c r="AX815" s="24">
        <f t="shared" ref="AX815" si="3319">+AP815/BW815</f>
        <v>102312.04218362283</v>
      </c>
      <c r="AY815" s="308"/>
      <c r="BA815" s="65">
        <f t="shared" ref="BA815" si="3320">+BC815-BC814</f>
        <v>2141884</v>
      </c>
      <c r="BB815" s="66"/>
      <c r="BC815" s="66">
        <v>1033452427</v>
      </c>
      <c r="BD815" s="66"/>
      <c r="BE815" s="66">
        <f t="shared" ref="BE815" si="3321">+D815</f>
        <v>103221</v>
      </c>
      <c r="BF815" s="66"/>
      <c r="BG815" s="144">
        <f t="shared" ref="BG815" si="3322">+BE815/BA815</f>
        <v>4.8191685450752704E-2</v>
      </c>
      <c r="BH815" s="66"/>
      <c r="BI815" s="170"/>
      <c r="BJ815" s="66"/>
      <c r="BK815" s="66"/>
      <c r="BL815" s="66"/>
      <c r="BM815" s="144"/>
      <c r="BN815" s="65">
        <f t="shared" ref="BN815" si="3323">+BC815/BW815</f>
        <v>1282199.0409429281</v>
      </c>
      <c r="BO815" s="66"/>
      <c r="BP815" s="66">
        <f t="shared" ref="BP815" si="3324">+BP814+BE815</f>
        <v>73887517</v>
      </c>
      <c r="BQ815" s="66"/>
      <c r="BR815" s="435">
        <f t="shared" ref="BR815" si="3325">+BP815/BC815</f>
        <v>7.1495808679348141E-2</v>
      </c>
      <c r="BS815" s="66"/>
      <c r="BT815" s="75"/>
      <c r="BU815" s="170"/>
      <c r="BV815" s="1"/>
      <c r="BW815" s="61">
        <f t="shared" si="1544"/>
        <v>806</v>
      </c>
      <c r="BY815" s="56"/>
      <c r="BZ815" s="1"/>
      <c r="CA815" s="61"/>
    </row>
    <row r="816" spans="2:79" x14ac:dyDescent="0.3">
      <c r="B816" s="158">
        <f t="shared" si="2425"/>
        <v>44716</v>
      </c>
      <c r="C816" s="61"/>
      <c r="D816" s="17">
        <v>46180</v>
      </c>
      <c r="E816" s="16"/>
      <c r="F816" s="16"/>
      <c r="G816" s="16"/>
      <c r="H816" s="16">
        <f t="shared" ref="H816" si="3326">+H815+D816</f>
        <v>74840675</v>
      </c>
      <c r="I816" s="16"/>
      <c r="J816" s="436">
        <f t="shared" ref="J816" si="3327">+D816/H815</f>
        <v>6.1742511932195011E-4</v>
      </c>
      <c r="K816" s="16"/>
      <c r="L816" s="16"/>
      <c r="M816" s="16"/>
      <c r="N816" s="16">
        <f t="shared" ref="N816" si="3328">SUM(D810:D816)</f>
        <v>382954</v>
      </c>
      <c r="O816" s="16">
        <f t="shared" ref="O816" si="3329">+H816/BW816</f>
        <v>92739.374225526641</v>
      </c>
      <c r="P816" s="41"/>
      <c r="Q816" s="17">
        <f t="shared" ref="Q816" si="3330">SUM(D810:D816)</f>
        <v>382954</v>
      </c>
      <c r="R816" s="16"/>
      <c r="S816" s="60">
        <f t="shared" ref="S816" si="3331">+(Q816-Q809)/Q809</f>
        <v>-0.14401498488993794</v>
      </c>
      <c r="T816" s="16"/>
      <c r="U816" s="41"/>
      <c r="V816" s="10">
        <f t="shared" si="558"/>
        <v>708</v>
      </c>
      <c r="W816" s="34">
        <v>96</v>
      </c>
      <c r="X816" s="33">
        <v>4256</v>
      </c>
      <c r="Y816" s="33"/>
      <c r="Z816" s="33">
        <f t="shared" ref="Z816" si="3332">SUM(W811:W816)</f>
        <v>1142</v>
      </c>
      <c r="AA816" s="33">
        <f t="shared" ref="AA816" si="3333">+AA815+W816</f>
        <v>898260</v>
      </c>
      <c r="AB816" s="33"/>
      <c r="AC816" s="46">
        <f t="shared" ref="AC816" si="3334">+AA816/H816</f>
        <v>1.2002296879337338E-2</v>
      </c>
      <c r="AD816" s="33"/>
      <c r="AE816" s="33">
        <f t="shared" ref="AE816" si="3335">+AA816/BW816</f>
        <v>1113.0855018587361</v>
      </c>
      <c r="AF816" s="50"/>
      <c r="AG816" s="33"/>
      <c r="AH816" s="33"/>
      <c r="AI816" s="213"/>
      <c r="AJ816" s="50"/>
      <c r="AL816" s="23">
        <f t="shared" ref="AL816" si="3336">+AP816-AP815</f>
        <v>64283</v>
      </c>
      <c r="AM816" s="24"/>
      <c r="AN816" s="24"/>
      <c r="AO816" s="24">
        <v>178263</v>
      </c>
      <c r="AP816" s="24">
        <v>82527789</v>
      </c>
      <c r="AQ816" s="24">
        <v>20336656</v>
      </c>
      <c r="AR816" s="461">
        <f t="shared" ref="AR816" si="3337">+AL816/AP815</f>
        <v>7.7953270626160377E-4</v>
      </c>
      <c r="AS816" s="25"/>
      <c r="AT816" s="25"/>
      <c r="AU816" s="24"/>
      <c r="AV816" s="298">
        <f t="shared" ref="AV816" si="3338">+AP816/H816</f>
        <v>1.1027130500894067</v>
      </c>
      <c r="AW816" s="298"/>
      <c r="AX816" s="24">
        <f t="shared" ref="AX816" si="3339">+AP816/BW816</f>
        <v>102264.91821561338</v>
      </c>
      <c r="AY816" s="308"/>
      <c r="BA816" s="65">
        <f t="shared" ref="BA816" si="3340">+BC816-BC815</f>
        <v>293564</v>
      </c>
      <c r="BB816" s="66"/>
      <c r="BC816" s="66">
        <v>1033745991</v>
      </c>
      <c r="BD816" s="66"/>
      <c r="BE816" s="66">
        <f t="shared" ref="BE816" si="3341">+D816</f>
        <v>46180</v>
      </c>
      <c r="BF816" s="66"/>
      <c r="BG816" s="144">
        <f t="shared" ref="BG816" si="3342">+BE816/BA816</f>
        <v>0.15730811679906256</v>
      </c>
      <c r="BH816" s="66"/>
      <c r="BI816" s="170"/>
      <c r="BJ816" s="66"/>
      <c r="BK816" s="66"/>
      <c r="BL816" s="66"/>
      <c r="BM816" s="144"/>
      <c r="BN816" s="65">
        <f t="shared" ref="BN816" si="3343">+BC816/BW816</f>
        <v>1280973.9665427508</v>
      </c>
      <c r="BO816" s="66"/>
      <c r="BP816" s="66">
        <f t="shared" ref="BP816" si="3344">+BP815+BE816</f>
        <v>73933697</v>
      </c>
      <c r="BQ816" s="66"/>
      <c r="BR816" s="435">
        <f t="shared" ref="BR816" si="3345">+BP816/BC816</f>
        <v>7.1520177726135434E-2</v>
      </c>
      <c r="BS816" s="66"/>
      <c r="BT816" s="75"/>
      <c r="BU816" s="170"/>
      <c r="BV816" s="1"/>
      <c r="BW816" s="61">
        <f t="shared" si="1544"/>
        <v>807</v>
      </c>
      <c r="BY816" s="56"/>
      <c r="BZ816" s="1"/>
      <c r="CA816" s="61"/>
    </row>
    <row r="817" spans="2:79" x14ac:dyDescent="0.3">
      <c r="B817" s="347">
        <f t="shared" si="2425"/>
        <v>44717</v>
      </c>
      <c r="C817" s="61"/>
      <c r="D817" s="17">
        <v>19504</v>
      </c>
      <c r="E817" s="16"/>
      <c r="F817" s="16"/>
      <c r="G817" s="16"/>
      <c r="H817" s="16">
        <f t="shared" ref="H817" si="3346">+H816+D817</f>
        <v>74860179</v>
      </c>
      <c r="I817" s="16"/>
      <c r="J817" s="436">
        <f t="shared" ref="J817" si="3347">+D817/H816</f>
        <v>2.6060694936276297E-4</v>
      </c>
      <c r="K817" s="16"/>
      <c r="L817" s="16"/>
      <c r="M817" s="16"/>
      <c r="N817" s="16">
        <f t="shared" ref="N817" si="3348">SUM(D811:D817)</f>
        <v>397686</v>
      </c>
      <c r="O817" s="16">
        <f t="shared" ref="O817" si="3349">+H817/BW817</f>
        <v>92648.736386138611</v>
      </c>
      <c r="P817" s="41"/>
      <c r="Q817" s="17">
        <f t="shared" ref="Q817" si="3350">SUM(D811:D817)</f>
        <v>397686</v>
      </c>
      <c r="R817" s="16"/>
      <c r="S817" s="60">
        <f t="shared" ref="S817" si="3351">+(Q817-Q810)/Q810</f>
        <v>-7.9807578839225596E-2</v>
      </c>
      <c r="T817" s="16"/>
      <c r="U817" s="41"/>
      <c r="V817" s="10">
        <f t="shared" si="558"/>
        <v>709</v>
      </c>
      <c r="W817" s="34">
        <v>20</v>
      </c>
      <c r="X817" s="33">
        <v>4256</v>
      </c>
      <c r="Y817" s="33"/>
      <c r="Z817" s="33">
        <f t="shared" ref="Z817" si="3352">SUM(W812:W817)</f>
        <v>1124</v>
      </c>
      <c r="AA817" s="33">
        <f t="shared" ref="AA817" si="3353">+AA816+W817</f>
        <v>898280</v>
      </c>
      <c r="AB817" s="33"/>
      <c r="AC817" s="46">
        <f t="shared" ref="AC817" si="3354">+AA817/H817</f>
        <v>1.1999436977034213E-2</v>
      </c>
      <c r="AD817" s="33"/>
      <c r="AE817" s="33">
        <f t="shared" ref="AE817" si="3355">+AA817/BW817</f>
        <v>1111.7326732673268</v>
      </c>
      <c r="AF817" s="50"/>
      <c r="AG817" s="33"/>
      <c r="AH817" s="33"/>
      <c r="AI817" s="213"/>
      <c r="AJ817" s="50"/>
      <c r="AL817" s="23">
        <f t="shared" ref="AL817" si="3356">+AP817-AP816</f>
        <v>56742</v>
      </c>
      <c r="AM817" s="24"/>
      <c r="AN817" s="24"/>
      <c r="AO817" s="24">
        <v>178263</v>
      </c>
      <c r="AP817" s="24">
        <v>82584531</v>
      </c>
      <c r="AQ817" s="24">
        <v>20336656</v>
      </c>
      <c r="AR817" s="461">
        <f t="shared" ref="AR817" si="3357">+AL817/AP816</f>
        <v>6.8755022626378612E-4</v>
      </c>
      <c r="AS817" s="25"/>
      <c r="AT817" s="25"/>
      <c r="AU817" s="24"/>
      <c r="AV817" s="298">
        <f t="shared" ref="AV817" si="3358">+AP817/H817</f>
        <v>1.1031837233517703</v>
      </c>
      <c r="AW817" s="298"/>
      <c r="AX817" s="24">
        <f t="shared" ref="AX817" si="3359">+AP817/BW817</f>
        <v>102208.57797029703</v>
      </c>
      <c r="AY817" s="308"/>
      <c r="BA817" s="65">
        <f t="shared" ref="BA817" si="3360">+BC817-BC816</f>
        <v>188383</v>
      </c>
      <c r="BB817" s="66"/>
      <c r="BC817" s="66">
        <v>1033934374</v>
      </c>
      <c r="BD817" s="66"/>
      <c r="BE817" s="66">
        <f t="shared" ref="BE817" si="3361">+D817</f>
        <v>19504</v>
      </c>
      <c r="BF817" s="66"/>
      <c r="BG817" s="144">
        <f t="shared" ref="BG817" si="3362">+BE817/BA817</f>
        <v>0.1035337583539916</v>
      </c>
      <c r="BH817" s="66"/>
      <c r="BI817" s="170"/>
      <c r="BJ817" s="66"/>
      <c r="BK817" s="66"/>
      <c r="BL817" s="66"/>
      <c r="BM817" s="144"/>
      <c r="BN817" s="65">
        <f t="shared" ref="BN817" si="3363">+BC817/BW817</f>
        <v>1279621.75</v>
      </c>
      <c r="BO817" s="66"/>
      <c r="BP817" s="66">
        <f t="shared" ref="BP817" si="3364">+BP816+BE817</f>
        <v>73953201</v>
      </c>
      <c r="BQ817" s="66"/>
      <c r="BR817" s="435">
        <f t="shared" ref="BR817" si="3365">+BP817/BC817</f>
        <v>7.1526010605388768E-2</v>
      </c>
      <c r="BS817" s="66"/>
      <c r="BT817" s="75"/>
      <c r="BU817" s="170"/>
      <c r="BV817" s="1"/>
      <c r="BW817" s="61">
        <f t="shared" si="1544"/>
        <v>808</v>
      </c>
      <c r="BY817" s="56"/>
      <c r="BZ817" s="1"/>
      <c r="CA817" s="61"/>
    </row>
    <row r="818" spans="2:79" x14ac:dyDescent="0.3">
      <c r="B818" s="158">
        <f t="shared" si="2425"/>
        <v>44718</v>
      </c>
      <c r="C818" s="61"/>
      <c r="D818" s="17">
        <v>81332</v>
      </c>
      <c r="E818" s="16"/>
      <c r="F818" s="16"/>
      <c r="G818" s="16"/>
      <c r="H818" s="16">
        <f t="shared" ref="H818" si="3366">+H817+D818</f>
        <v>74941511</v>
      </c>
      <c r="I818" s="16"/>
      <c r="J818" s="436">
        <f t="shared" ref="J818" si="3367">+D818/H817</f>
        <v>1.0864521176205042E-3</v>
      </c>
      <c r="K818" s="16"/>
      <c r="L818" s="16"/>
      <c r="M818" s="16"/>
      <c r="N818" s="16">
        <f t="shared" ref="N818" si="3368">SUM(D812:D818)</f>
        <v>472153</v>
      </c>
      <c r="O818" s="16">
        <f t="shared" ref="O818" si="3369">+H818/BW818</f>
        <v>92634.747836835595</v>
      </c>
      <c r="P818" s="41"/>
      <c r="Q818" s="17">
        <f t="shared" ref="Q818" si="3370">SUM(D812:D818)</f>
        <v>472153</v>
      </c>
      <c r="R818" s="16"/>
      <c r="S818" s="60">
        <f t="shared" ref="S818" si="3371">+(Q818-Q811)/Q811</f>
        <v>0.22397117341317677</v>
      </c>
      <c r="T818" s="16"/>
      <c r="U818" s="41"/>
      <c r="V818" s="10">
        <f t="shared" si="558"/>
        <v>710</v>
      </c>
      <c r="W818" s="34">
        <v>339</v>
      </c>
      <c r="X818" s="33">
        <v>4256</v>
      </c>
      <c r="Y818" s="33"/>
      <c r="Z818" s="33">
        <f t="shared" ref="Z818" si="3372">SUM(W813:W818)</f>
        <v>1334</v>
      </c>
      <c r="AA818" s="33">
        <f t="shared" ref="AA818" si="3373">+AA817+W818</f>
        <v>898619</v>
      </c>
      <c r="AB818" s="33"/>
      <c r="AC818" s="46">
        <f t="shared" ref="AC818" si="3374">+AA818/H818</f>
        <v>1.1990937839510602E-2</v>
      </c>
      <c r="AD818" s="33"/>
      <c r="AE818" s="33">
        <f t="shared" ref="AE818" si="3375">+AA818/BW818</f>
        <v>1110.7775030902349</v>
      </c>
      <c r="AF818" s="50"/>
      <c r="AG818" s="33"/>
      <c r="AH818" s="33"/>
      <c r="AI818" s="213"/>
      <c r="AJ818" s="50"/>
      <c r="AL818" s="23">
        <f t="shared" ref="AL818" si="3376">+AP818-AP817</f>
        <v>169877</v>
      </c>
      <c r="AM818" s="24"/>
      <c r="AN818" s="24"/>
      <c r="AO818" s="24">
        <v>178263</v>
      </c>
      <c r="AP818" s="24">
        <v>82754408</v>
      </c>
      <c r="AQ818" s="24">
        <v>20336656</v>
      </c>
      <c r="AR818" s="461">
        <f t="shared" ref="AR818" si="3377">+AL818/AP817</f>
        <v>2.0570075042261851E-3</v>
      </c>
      <c r="AS818" s="25"/>
      <c r="AT818" s="25"/>
      <c r="AU818" s="24"/>
      <c r="AV818" s="298">
        <f t="shared" ref="AV818" si="3378">+AP818/H818</f>
        <v>1.1042532622540797</v>
      </c>
      <c r="AW818" s="298"/>
      <c r="AX818" s="24">
        <f t="shared" ref="AX818" si="3379">+AP818/BW818</f>
        <v>102292.22249690976</v>
      </c>
      <c r="AY818" s="308"/>
      <c r="BA818" s="65">
        <f t="shared" ref="BA818" si="3380">+BC818-BC817</f>
        <v>2047966</v>
      </c>
      <c r="BB818" s="66"/>
      <c r="BC818" s="66">
        <v>1035982340</v>
      </c>
      <c r="BD818" s="66"/>
      <c r="BE818" s="66">
        <f t="shared" ref="BE818" si="3381">+D818</f>
        <v>81332</v>
      </c>
      <c r="BF818" s="66"/>
      <c r="BG818" s="144">
        <f t="shared" ref="BG818" si="3382">+BE818/BA818</f>
        <v>3.9713549931981292E-2</v>
      </c>
      <c r="BH818" s="66"/>
      <c r="BI818" s="170"/>
      <c r="BJ818" s="66"/>
      <c r="BK818" s="66"/>
      <c r="BL818" s="66"/>
      <c r="BM818" s="144"/>
      <c r="BN818" s="65">
        <f t="shared" ref="BN818" si="3383">+BC818/BW818</f>
        <v>1280571.4956736711</v>
      </c>
      <c r="BO818" s="66"/>
      <c r="BP818" s="66">
        <f t="shared" ref="BP818" si="3384">+BP817+BE818</f>
        <v>74034533</v>
      </c>
      <c r="BQ818" s="66"/>
      <c r="BR818" s="435">
        <f t="shared" ref="BR818" si="3385">+BP818/BC818</f>
        <v>7.1463122624271763E-2</v>
      </c>
      <c r="BS818" s="66"/>
      <c r="BT818" s="75"/>
      <c r="BU818" s="170"/>
      <c r="BV818" s="1"/>
      <c r="BW818" s="61">
        <f t="shared" si="1544"/>
        <v>809</v>
      </c>
      <c r="BY818" s="56"/>
      <c r="BZ818" s="1"/>
      <c r="CA818" s="61"/>
    </row>
    <row r="819" spans="2:79" x14ac:dyDescent="0.3">
      <c r="B819" s="158">
        <f t="shared" si="2425"/>
        <v>44719</v>
      </c>
      <c r="C819" s="61"/>
      <c r="D819" s="17">
        <v>96848</v>
      </c>
      <c r="E819" s="16"/>
      <c r="F819" s="16"/>
      <c r="G819" s="16"/>
      <c r="H819" s="16">
        <f t="shared" ref="H819" si="3386">+H818+D819</f>
        <v>75038359</v>
      </c>
      <c r="I819" s="16"/>
      <c r="J819" s="436">
        <f t="shared" ref="J819" si="3387">+D819/H818</f>
        <v>1.2923144824234995E-3</v>
      </c>
      <c r="K819" s="16"/>
      <c r="L819" s="16"/>
      <c r="M819" s="16"/>
      <c r="N819" s="16">
        <f t="shared" ref="N819" si="3388">SUM(D813:D819)</f>
        <v>524985</v>
      </c>
      <c r="O819" s="16">
        <f t="shared" ref="O819" si="3389">+H819/BW819</f>
        <v>92639.949382716048</v>
      </c>
      <c r="P819" s="41"/>
      <c r="Q819" s="17">
        <f t="shared" ref="Q819" si="3390">SUM(D813:D819)</f>
        <v>524985</v>
      </c>
      <c r="R819" s="16"/>
      <c r="S819" s="60">
        <f t="shared" ref="S819" si="3391">+(Q819-Q812)/Q812</f>
        <v>0.48243057791030614</v>
      </c>
      <c r="T819" s="16"/>
      <c r="U819" s="41"/>
      <c r="V819" s="10">
        <f t="shared" si="558"/>
        <v>711</v>
      </c>
      <c r="W819" s="34">
        <v>283</v>
      </c>
      <c r="X819" s="33">
        <v>4256</v>
      </c>
      <c r="Y819" s="33"/>
      <c r="Z819" s="33">
        <f t="shared" ref="Z819" si="3392">SUM(W814:W819)</f>
        <v>1270</v>
      </c>
      <c r="AA819" s="33">
        <f t="shared" ref="AA819" si="3393">+AA818+W819</f>
        <v>898902</v>
      </c>
      <c r="AB819" s="33"/>
      <c r="AC819" s="46">
        <f t="shared" ref="AC819" si="3394">+AA819/H819</f>
        <v>1.1979233181258668E-2</v>
      </c>
      <c r="AD819" s="33"/>
      <c r="AE819" s="33">
        <f t="shared" ref="AE819" si="3395">+AA819/BW819</f>
        <v>1109.7555555555555</v>
      </c>
      <c r="AF819" s="50"/>
      <c r="AG819" s="33"/>
      <c r="AH819" s="33"/>
      <c r="AI819" s="213"/>
      <c r="AJ819" s="50"/>
      <c r="AL819" s="23">
        <f t="shared" ref="AL819" si="3396">+AP819-AP818</f>
        <v>71591</v>
      </c>
      <c r="AM819" s="24"/>
      <c r="AN819" s="24"/>
      <c r="AO819" s="24">
        <v>178263</v>
      </c>
      <c r="AP819" s="24">
        <v>82825999</v>
      </c>
      <c r="AQ819" s="24">
        <v>20336656</v>
      </c>
      <c r="AR819" s="461">
        <f t="shared" ref="AR819" si="3397">+AL819/AP818</f>
        <v>8.6510195323975976E-4</v>
      </c>
      <c r="AS819" s="25"/>
      <c r="AT819" s="25"/>
      <c r="AU819" s="24"/>
      <c r="AV819" s="298">
        <f t="shared" ref="AV819" si="3398">+AP819/H819</f>
        <v>1.103782120288638</v>
      </c>
      <c r="AW819" s="298"/>
      <c r="AX819" s="24">
        <f t="shared" ref="AX819" si="3399">+AP819/BW819</f>
        <v>102254.31975308641</v>
      </c>
      <c r="AY819" s="308"/>
      <c r="BA819" s="65">
        <f t="shared" ref="BA819" si="3400">+BC819-BC818</f>
        <v>1244408</v>
      </c>
      <c r="BB819" s="66"/>
      <c r="BC819" s="66">
        <v>1037226748</v>
      </c>
      <c r="BD819" s="66"/>
      <c r="BE819" s="66">
        <f t="shared" ref="BE819" si="3401">+D819</f>
        <v>96848</v>
      </c>
      <c r="BF819" s="66"/>
      <c r="BG819" s="144">
        <f t="shared" ref="BG819" si="3402">+BE819/BA819</f>
        <v>7.782656492082983E-2</v>
      </c>
      <c r="BH819" s="66"/>
      <c r="BI819" s="170"/>
      <c r="BJ819" s="66"/>
      <c r="BK819" s="66"/>
      <c r="BL819" s="66"/>
      <c r="BM819" s="144"/>
      <c r="BN819" s="65">
        <f t="shared" ref="BN819" si="3403">+BC819/BW819</f>
        <v>1280526.849382716</v>
      </c>
      <c r="BO819" s="66"/>
      <c r="BP819" s="66">
        <f t="shared" ref="BP819" si="3404">+BP818+BE819</f>
        <v>74131381</v>
      </c>
      <c r="BQ819" s="66"/>
      <c r="BR819" s="435">
        <f t="shared" ref="BR819" si="3405">+BP819/BC819</f>
        <v>7.1470757134774549E-2</v>
      </c>
      <c r="BS819" s="66"/>
      <c r="BT819" s="75"/>
      <c r="BU819" s="170"/>
      <c r="BV819" s="1"/>
      <c r="BW819" s="61">
        <f t="shared" si="1544"/>
        <v>810</v>
      </c>
      <c r="BY819" s="56"/>
      <c r="BZ819" s="1"/>
      <c r="CA819" s="61"/>
    </row>
    <row r="820" spans="2:79" x14ac:dyDescent="0.3">
      <c r="B820" s="158">
        <f t="shared" si="2425"/>
        <v>44720</v>
      </c>
      <c r="C820" s="61"/>
      <c r="D820" s="17">
        <v>98765</v>
      </c>
      <c r="E820" s="16"/>
      <c r="F820" s="16"/>
      <c r="G820" s="16"/>
      <c r="H820" s="16">
        <f t="shared" ref="H820" si="3406">+H819+D820</f>
        <v>75137124</v>
      </c>
      <c r="I820" s="16"/>
      <c r="J820" s="436">
        <f t="shared" ref="J820" si="3407">+D820/H819</f>
        <v>1.3161934951162778E-3</v>
      </c>
      <c r="K820" s="16"/>
      <c r="L820" s="16"/>
      <c r="M820" s="16"/>
      <c r="N820" s="16">
        <f t="shared" ref="N820" si="3408">SUM(D814:D820)</f>
        <v>528746</v>
      </c>
      <c r="O820" s="16">
        <f t="shared" ref="O820" si="3409">+H820/BW820</f>
        <v>92647.501849568434</v>
      </c>
      <c r="P820" s="41"/>
      <c r="Q820" s="17">
        <f t="shared" ref="Q820" si="3410">SUM(D814:D820)</f>
        <v>528746</v>
      </c>
      <c r="R820" s="16"/>
      <c r="S820" s="60">
        <f t="shared" ref="S820" si="3411">+(Q820-Q813)/Q813</f>
        <v>0.51973005366160707</v>
      </c>
      <c r="T820" s="16"/>
      <c r="U820" s="41"/>
      <c r="V820" s="10">
        <f t="shared" si="558"/>
        <v>712</v>
      </c>
      <c r="W820" s="34">
        <v>436</v>
      </c>
      <c r="X820" s="33">
        <v>4256</v>
      </c>
      <c r="Y820" s="33"/>
      <c r="Z820" s="33">
        <f t="shared" ref="Z820" si="3412">SUM(W815:W820)</f>
        <v>1490</v>
      </c>
      <c r="AA820" s="33">
        <f t="shared" ref="AA820" si="3413">+AA819+W820</f>
        <v>899338</v>
      </c>
      <c r="AB820" s="33"/>
      <c r="AC820" s="46">
        <f t="shared" ref="AC820" si="3414">+AA820/H820</f>
        <v>1.1969289641695628E-2</v>
      </c>
      <c r="AD820" s="33"/>
      <c r="AE820" s="33">
        <f t="shared" ref="AE820" si="3415">+AA820/BW820</f>
        <v>1108.9247842170159</v>
      </c>
      <c r="AF820" s="50"/>
      <c r="AG820" s="33"/>
      <c r="AH820" s="33"/>
      <c r="AI820" s="213"/>
      <c r="AJ820" s="50"/>
      <c r="AL820" s="23">
        <f t="shared" ref="AL820" si="3416">+AP820-AP819</f>
        <v>54001</v>
      </c>
      <c r="AM820" s="24"/>
      <c r="AN820" s="24"/>
      <c r="AO820" s="24">
        <v>178263</v>
      </c>
      <c r="AP820" s="24">
        <v>82880000</v>
      </c>
      <c r="AQ820" s="24">
        <v>20336656</v>
      </c>
      <c r="AR820" s="461">
        <f t="shared" ref="AR820" si="3417">+AL820/AP819</f>
        <v>6.5198126979428288E-4</v>
      </c>
      <c r="AS820" s="25"/>
      <c r="AT820" s="25"/>
      <c r="AU820" s="24"/>
      <c r="AV820" s="298">
        <f t="shared" ref="AV820" si="3418">+AP820/H820</f>
        <v>1.1030499384032852</v>
      </c>
      <c r="AW820" s="298"/>
      <c r="AX820" s="24">
        <f t="shared" ref="AX820" si="3419">+AP820/BW820</f>
        <v>102194.82120838472</v>
      </c>
      <c r="AY820" s="308"/>
      <c r="BA820" s="65">
        <f t="shared" ref="BA820" si="3420">+BC820-BC819</f>
        <v>143252</v>
      </c>
      <c r="BB820" s="66"/>
      <c r="BC820" s="66">
        <v>1037370000</v>
      </c>
      <c r="BD820" s="66"/>
      <c r="BE820" s="66">
        <f t="shared" ref="BE820" si="3421">+D820</f>
        <v>98765</v>
      </c>
      <c r="BF820" s="66"/>
      <c r="BG820" s="144">
        <f t="shared" ref="BG820" si="3422">+BE820/BA820</f>
        <v>0.68944936196353279</v>
      </c>
      <c r="BH820" s="66"/>
      <c r="BI820" s="170"/>
      <c r="BJ820" s="66"/>
      <c r="BK820" s="66"/>
      <c r="BL820" s="66"/>
      <c r="BM820" s="144"/>
      <c r="BN820" s="65">
        <f t="shared" ref="BN820" si="3423">+BC820/BW820</f>
        <v>1279124.5376078915</v>
      </c>
      <c r="BO820" s="66"/>
      <c r="BP820" s="66">
        <f t="shared" ref="BP820" si="3424">+BP819+BE820</f>
        <v>74230146</v>
      </c>
      <c r="BQ820" s="66"/>
      <c r="BR820" s="435">
        <f t="shared" ref="BR820" si="3425">+BP820/BC820</f>
        <v>7.1556094739581827E-2</v>
      </c>
      <c r="BS820" s="66"/>
      <c r="BT820" s="75"/>
      <c r="BU820" s="170"/>
      <c r="BV820" s="1"/>
      <c r="BW820" s="61">
        <f t="shared" si="1544"/>
        <v>811</v>
      </c>
      <c r="BY820" s="56"/>
      <c r="BZ820" s="1"/>
      <c r="CA820" s="61"/>
    </row>
    <row r="821" spans="2:79" x14ac:dyDescent="0.3">
      <c r="B821" s="158">
        <f t="shared" si="2425"/>
        <v>44721</v>
      </c>
      <c r="C821" s="61"/>
      <c r="D821" s="17">
        <v>104628</v>
      </c>
      <c r="E821" s="16"/>
      <c r="F821" s="16"/>
      <c r="G821" s="16"/>
      <c r="H821" s="16">
        <f t="shared" ref="H821" si="3426">+H820+D821</f>
        <v>75241752</v>
      </c>
      <c r="I821" s="16"/>
      <c r="J821" s="436">
        <f t="shared" ref="J821" si="3427">+D821/H820</f>
        <v>1.3924940752323711E-3</v>
      </c>
      <c r="K821" s="16"/>
      <c r="L821" s="16"/>
      <c r="M821" s="16"/>
      <c r="N821" s="16">
        <f t="shared" ref="N821" si="3428">SUM(D815:D821)</f>
        <v>550478</v>
      </c>
      <c r="O821" s="16">
        <f t="shared" ref="O821" si="3429">+H821/BW821</f>
        <v>92662.256157635464</v>
      </c>
      <c r="P821" s="41"/>
      <c r="Q821" s="17">
        <f t="shared" ref="Q821" si="3430">SUM(D815:D821)</f>
        <v>550478</v>
      </c>
      <c r="R821" s="16"/>
      <c r="S821" s="60">
        <f t="shared" ref="S821" si="3431">+(Q821-Q814)/Q814</f>
        <v>0.60303671843376616</v>
      </c>
      <c r="T821" s="16"/>
      <c r="U821" s="41"/>
      <c r="V821" s="10">
        <f t="shared" si="558"/>
        <v>713</v>
      </c>
      <c r="W821" s="34">
        <v>260</v>
      </c>
      <c r="X821" s="33">
        <v>4256</v>
      </c>
      <c r="Y821" s="33"/>
      <c r="Z821" s="33">
        <f t="shared" ref="Z821" si="3432">SUM(W816:W821)</f>
        <v>1434</v>
      </c>
      <c r="AA821" s="33">
        <f t="shared" ref="AA821" si="3433">+AA820+W821</f>
        <v>899598</v>
      </c>
      <c r="AB821" s="33"/>
      <c r="AC821" s="46">
        <f t="shared" ref="AC821" si="3434">+AA821/H821</f>
        <v>1.1956101181694972E-2</v>
      </c>
      <c r="AD821" s="33"/>
      <c r="AE821" s="33">
        <f t="shared" ref="AE821" si="3435">+AA821/BW821</f>
        <v>1107.8793103448277</v>
      </c>
      <c r="AF821" s="50"/>
      <c r="AG821" s="33"/>
      <c r="AH821" s="33"/>
      <c r="AI821" s="213"/>
      <c r="AJ821" s="50"/>
      <c r="AL821" s="23">
        <f t="shared" ref="AL821" si="3436">+AP821-AP820</f>
        <v>55242</v>
      </c>
      <c r="AM821" s="24"/>
      <c r="AN821" s="24"/>
      <c r="AO821" s="24">
        <v>178263</v>
      </c>
      <c r="AP821" s="24">
        <v>82935242</v>
      </c>
      <c r="AQ821" s="24">
        <v>20336656</v>
      </c>
      <c r="AR821" s="461">
        <f t="shared" ref="AR821" si="3437">+AL821/AP820</f>
        <v>6.665299227799228E-4</v>
      </c>
      <c r="AS821" s="25"/>
      <c r="AT821" s="25"/>
      <c r="AU821" s="24"/>
      <c r="AV821" s="298">
        <f t="shared" ref="AV821" si="3438">+AP821/H821</f>
        <v>1.1022502772131091</v>
      </c>
      <c r="AW821" s="298"/>
      <c r="AX821" s="24">
        <f t="shared" ref="AX821" si="3439">+AP821/BW821</f>
        <v>102136.99753694581</v>
      </c>
      <c r="AY821" s="308"/>
      <c r="BA821" s="65">
        <f t="shared" ref="BA821" si="3440">+BC821-BC820</f>
        <v>1035268</v>
      </c>
      <c r="BB821" s="66"/>
      <c r="BC821" s="66">
        <v>1038405268</v>
      </c>
      <c r="BD821" s="66"/>
      <c r="BE821" s="66">
        <f t="shared" ref="BE821" si="3441">+D821</f>
        <v>104628</v>
      </c>
      <c r="BF821" s="66"/>
      <c r="BG821" s="144">
        <f t="shared" ref="BG821" si="3442">+BE821/BA821</f>
        <v>0.10106368592480401</v>
      </c>
      <c r="BH821" s="66"/>
      <c r="BI821" s="170"/>
      <c r="BJ821" s="66"/>
      <c r="BK821" s="66"/>
      <c r="BL821" s="66"/>
      <c r="BM821" s="144"/>
      <c r="BN821" s="65">
        <f t="shared" ref="BN821" si="3443">+BC821/BW821</f>
        <v>1278824.2216748768</v>
      </c>
      <c r="BO821" s="66"/>
      <c r="BP821" s="66">
        <f t="shared" ref="BP821" si="3444">+BP820+BE821</f>
        <v>74334774</v>
      </c>
      <c r="BQ821" s="66"/>
      <c r="BR821" s="435">
        <f t="shared" ref="BR821" si="3445">+BP821/BC821</f>
        <v>7.1585513181352617E-2</v>
      </c>
      <c r="BS821" s="66"/>
      <c r="BT821" s="75"/>
      <c r="BU821" s="170"/>
      <c r="BV821" s="1"/>
      <c r="BW821" s="61">
        <f t="shared" si="1544"/>
        <v>812</v>
      </c>
      <c r="BY821" s="56"/>
      <c r="BZ821" s="1"/>
      <c r="CA821" s="61"/>
    </row>
    <row r="822" spans="2:79" x14ac:dyDescent="0.3">
      <c r="B822" s="158">
        <f t="shared" si="2425"/>
        <v>44722</v>
      </c>
      <c r="C822" s="61"/>
      <c r="D822" s="17">
        <v>93870</v>
      </c>
      <c r="E822" s="16"/>
      <c r="F822" s="16"/>
      <c r="G822" s="16"/>
      <c r="H822" s="16">
        <f t="shared" ref="H822" si="3446">+H821+D822</f>
        <v>75335622</v>
      </c>
      <c r="I822" s="16"/>
      <c r="J822" s="436">
        <f t="shared" ref="J822" si="3447">+D822/H821</f>
        <v>1.2475786050276979E-3</v>
      </c>
      <c r="K822" s="16"/>
      <c r="L822" s="16"/>
      <c r="M822" s="16"/>
      <c r="N822" s="16">
        <f t="shared" ref="N822" si="3448">SUM(D816:D822)</f>
        <v>541127</v>
      </c>
      <c r="O822" s="16">
        <f t="shared" ref="O822" si="3449">+H822/BW822</f>
        <v>92663.741697416976</v>
      </c>
      <c r="P822" s="41"/>
      <c r="Q822" s="17">
        <f t="shared" ref="Q822" si="3450">SUM(D816:D822)</f>
        <v>541127</v>
      </c>
      <c r="R822" s="16"/>
      <c r="S822" s="60">
        <f t="shared" ref="S822" si="3451">+(Q822-Q815)/Q815</f>
        <v>0.55331559352295989</v>
      </c>
      <c r="T822" s="16"/>
      <c r="U822" s="41"/>
      <c r="V822" s="10">
        <f t="shared" si="558"/>
        <v>714</v>
      </c>
      <c r="W822" s="34">
        <v>205</v>
      </c>
      <c r="X822" s="33">
        <v>4256</v>
      </c>
      <c r="Y822" s="33"/>
      <c r="Z822" s="33">
        <f t="shared" ref="Z822" si="3452">SUM(W817:W822)</f>
        <v>1543</v>
      </c>
      <c r="AA822" s="33">
        <f t="shared" ref="AA822" si="3453">+AA821+W822</f>
        <v>899803</v>
      </c>
      <c r="AB822" s="33"/>
      <c r="AC822" s="46">
        <f t="shared" ref="AC822" si="3454">+AA822/H822</f>
        <v>1.1943924747843723E-2</v>
      </c>
      <c r="AD822" s="33"/>
      <c r="AE822" s="33">
        <f t="shared" ref="AE822" si="3455">+AA822/BW822</f>
        <v>1106.7687576875769</v>
      </c>
      <c r="AF822" s="50"/>
      <c r="AG822" s="33"/>
      <c r="AH822" s="33"/>
      <c r="AI822" s="213"/>
      <c r="AJ822" s="50"/>
      <c r="AL822" s="23">
        <f t="shared" ref="AL822" si="3456">+AP822-AP821</f>
        <v>79276</v>
      </c>
      <c r="AM822" s="24"/>
      <c r="AN822" s="24"/>
      <c r="AO822" s="24">
        <v>178263</v>
      </c>
      <c r="AP822" s="24">
        <v>83014518</v>
      </c>
      <c r="AQ822" s="24">
        <v>20336656</v>
      </c>
      <c r="AR822" s="461">
        <f t="shared" ref="AR822" si="3457">+AL822/AP821</f>
        <v>9.5587832251095377E-4</v>
      </c>
      <c r="AS822" s="25"/>
      <c r="AT822" s="25"/>
      <c r="AU822" s="24"/>
      <c r="AV822" s="298">
        <f t="shared" ref="AV822" si="3458">+AP822/H822</f>
        <v>1.1019291511258777</v>
      </c>
      <c r="AW822" s="298"/>
      <c r="AX822" s="24">
        <f t="shared" ref="AX822" si="3459">+AP822/BW822</f>
        <v>102108.87822878228</v>
      </c>
      <c r="AY822" s="308"/>
      <c r="BA822" s="65">
        <f t="shared" ref="BA822" si="3460">+BC822-BC821</f>
        <v>721244</v>
      </c>
      <c r="BB822" s="66"/>
      <c r="BC822" s="66">
        <v>1039126512</v>
      </c>
      <c r="BD822" s="66"/>
      <c r="BE822" s="66">
        <f t="shared" ref="BE822" si="3461">+D822</f>
        <v>93870</v>
      </c>
      <c r="BF822" s="66"/>
      <c r="BG822" s="144">
        <f t="shared" ref="BG822" si="3462">+BE822/BA822</f>
        <v>0.13015012949847762</v>
      </c>
      <c r="BH822" s="66"/>
      <c r="BI822" s="170"/>
      <c r="BJ822" s="66"/>
      <c r="BK822" s="66"/>
      <c r="BL822" s="66"/>
      <c r="BM822" s="144"/>
      <c r="BN822" s="65">
        <f t="shared" ref="BN822" si="3463">+BC822/BW822</f>
        <v>1278138.3911439115</v>
      </c>
      <c r="BO822" s="66"/>
      <c r="BP822" s="66">
        <f t="shared" ref="BP822" si="3464">+BP821+BE822</f>
        <v>74428644</v>
      </c>
      <c r="BQ822" s="66"/>
      <c r="BR822" s="435">
        <f t="shared" ref="BR822" si="3465">+BP822/BC822</f>
        <v>7.1626162108738498E-2</v>
      </c>
      <c r="BS822" s="66"/>
      <c r="BT822" s="75"/>
      <c r="BU822" s="170"/>
      <c r="BV822" s="1"/>
      <c r="BW822" s="61">
        <f t="shared" si="1544"/>
        <v>813</v>
      </c>
      <c r="BY822" s="56"/>
      <c r="BZ822" s="1"/>
      <c r="CA822" s="61"/>
    </row>
    <row r="823" spans="2:79" x14ac:dyDescent="0.3">
      <c r="B823" s="158">
        <f t="shared" si="2425"/>
        <v>44723</v>
      </c>
      <c r="C823" s="61"/>
      <c r="D823" s="17">
        <v>39743</v>
      </c>
      <c r="E823" s="16"/>
      <c r="F823" s="16"/>
      <c r="G823" s="16"/>
      <c r="H823" s="16">
        <f t="shared" ref="H823" si="3466">+H822+D823</f>
        <v>75375365</v>
      </c>
      <c r="I823" s="16"/>
      <c r="J823" s="436">
        <f t="shared" ref="J823" si="3467">+D823/H822</f>
        <v>5.275459197774991E-4</v>
      </c>
      <c r="K823" s="16"/>
      <c r="L823" s="16"/>
      <c r="M823" s="16"/>
      <c r="N823" s="16">
        <f t="shared" ref="N823" si="3468">SUM(D817:D823)</f>
        <v>534690</v>
      </c>
      <c r="O823" s="16">
        <f t="shared" ref="O823" si="3469">+H823/BW823</f>
        <v>92598.728501228499</v>
      </c>
      <c r="P823" s="41"/>
      <c r="Q823" s="17">
        <f t="shared" ref="Q823" si="3470">SUM(D817:D823)</f>
        <v>534690</v>
      </c>
      <c r="R823" s="16"/>
      <c r="S823" s="60">
        <f t="shared" ref="S823" si="3471">+(Q823-Q816)/Q816</f>
        <v>0.39622513408921178</v>
      </c>
      <c r="T823" s="16"/>
      <c r="U823" s="41"/>
      <c r="V823" s="10">
        <f t="shared" si="558"/>
        <v>715</v>
      </c>
      <c r="W823" s="34">
        <v>74</v>
      </c>
      <c r="X823" s="33">
        <v>4256</v>
      </c>
      <c r="Y823" s="33"/>
      <c r="Z823" s="33">
        <f t="shared" ref="Z823" si="3472">SUM(W818:W823)</f>
        <v>1597</v>
      </c>
      <c r="AA823" s="33">
        <f t="shared" ref="AA823" si="3473">+AA822+W823</f>
        <v>899877</v>
      </c>
      <c r="AB823" s="33"/>
      <c r="AC823" s="46">
        <f t="shared" ref="AC823" si="3474">+AA823/H823</f>
        <v>1.1938608854497752E-2</v>
      </c>
      <c r="AD823" s="33"/>
      <c r="AE823" s="33">
        <f t="shared" ref="AE823" si="3475">+AA823/BW823</f>
        <v>1105.5</v>
      </c>
      <c r="AF823" s="50"/>
      <c r="AG823" s="33"/>
      <c r="AH823" s="33"/>
      <c r="AI823" s="213"/>
      <c r="AJ823" s="50"/>
      <c r="AL823" s="23">
        <f t="shared" ref="AL823" si="3476">+AP823-AP822</f>
        <v>65709</v>
      </c>
      <c r="AM823" s="24"/>
      <c r="AN823" s="24"/>
      <c r="AO823" s="24">
        <v>178263</v>
      </c>
      <c r="AP823" s="24">
        <v>83080227</v>
      </c>
      <c r="AQ823" s="24">
        <v>20336656</v>
      </c>
      <c r="AR823" s="461">
        <f t="shared" ref="AR823" si="3477">+AL823/AP822</f>
        <v>7.9153624670807586E-4</v>
      </c>
      <c r="AS823" s="25"/>
      <c r="AT823" s="25"/>
      <c r="AU823" s="24"/>
      <c r="AV823" s="298">
        <f t="shared" ref="AV823" si="3478">+AP823/H823</f>
        <v>1.1022198963812646</v>
      </c>
      <c r="AW823" s="298"/>
      <c r="AX823" s="24">
        <f t="shared" ref="AX823" si="3479">+AP823/BW823</f>
        <v>102064.16093366094</v>
      </c>
      <c r="AY823" s="308"/>
      <c r="BA823" s="65">
        <f t="shared" ref="BA823" si="3480">+BC823-BC822</f>
        <v>257724</v>
      </c>
      <c r="BB823" s="66"/>
      <c r="BC823" s="66">
        <v>1039384236</v>
      </c>
      <c r="BD823" s="66"/>
      <c r="BE823" s="66">
        <f t="shared" ref="BE823" si="3481">+D823</f>
        <v>39743</v>
      </c>
      <c r="BF823" s="66"/>
      <c r="BG823" s="144">
        <f t="shared" ref="BG823" si="3482">+BE823/BA823</f>
        <v>0.15420760193074762</v>
      </c>
      <c r="BH823" s="66"/>
      <c r="BI823" s="170"/>
      <c r="BJ823" s="66"/>
      <c r="BK823" s="66"/>
      <c r="BL823" s="66"/>
      <c r="BM823" s="144"/>
      <c r="BN823" s="65">
        <f t="shared" ref="BN823" si="3483">+BC823/BW823</f>
        <v>1276884.8108108109</v>
      </c>
      <c r="BO823" s="66"/>
      <c r="BP823" s="66">
        <f t="shared" ref="BP823" si="3484">+BP822+BE823</f>
        <v>74468387</v>
      </c>
      <c r="BQ823" s="66"/>
      <c r="BR823" s="435">
        <f t="shared" ref="BR823" si="3485">+BP823/BC823</f>
        <v>7.1646638866283516E-2</v>
      </c>
      <c r="BS823" s="66"/>
      <c r="BT823" s="75"/>
      <c r="BU823" s="170"/>
      <c r="BV823" s="1"/>
      <c r="BW823" s="61">
        <f t="shared" si="1544"/>
        <v>814</v>
      </c>
      <c r="BY823" s="56"/>
      <c r="BZ823" s="1"/>
      <c r="CA823" s="61"/>
    </row>
    <row r="824" spans="2:79" x14ac:dyDescent="0.3">
      <c r="B824" s="347">
        <f t="shared" si="2425"/>
        <v>44724</v>
      </c>
      <c r="C824" s="61"/>
      <c r="D824" s="17">
        <v>16284</v>
      </c>
      <c r="E824" s="16"/>
      <c r="F824" s="16"/>
      <c r="G824" s="16"/>
      <c r="H824" s="16">
        <f t="shared" ref="H824" si="3486">+H823+D824</f>
        <v>75391649</v>
      </c>
      <c r="I824" s="16"/>
      <c r="J824" s="436">
        <f t="shared" ref="J824" si="3487">+D824/H823</f>
        <v>2.1603875483720708E-4</v>
      </c>
      <c r="K824" s="16"/>
      <c r="L824" s="16"/>
      <c r="M824" s="16"/>
      <c r="N824" s="16">
        <f t="shared" ref="N824" si="3488">SUM(D818:D824)</f>
        <v>531470</v>
      </c>
      <c r="O824" s="16">
        <f t="shared" ref="O824" si="3489">+H824/BW824</f>
        <v>92505.090797546014</v>
      </c>
      <c r="P824" s="41"/>
      <c r="Q824" s="17">
        <f t="shared" ref="Q824" si="3490">SUM(D818:D824)</f>
        <v>531470</v>
      </c>
      <c r="R824" s="16"/>
      <c r="S824" s="60">
        <f t="shared" ref="S824" si="3491">+(Q824-Q817)/Q817</f>
        <v>0.33640610934254661</v>
      </c>
      <c r="T824" s="16"/>
      <c r="U824" s="41"/>
      <c r="V824" s="10">
        <f t="shared" si="558"/>
        <v>716</v>
      </c>
      <c r="W824" s="34">
        <v>19</v>
      </c>
      <c r="X824" s="33">
        <v>4256</v>
      </c>
      <c r="Y824" s="33"/>
      <c r="Z824" s="33">
        <f t="shared" ref="Z824" si="3492">SUM(W819:W824)</f>
        <v>1277</v>
      </c>
      <c r="AA824" s="33">
        <f t="shared" ref="AA824" si="3493">+AA823+W824</f>
        <v>899896</v>
      </c>
      <c r="AB824" s="33"/>
      <c r="AC824" s="46">
        <f t="shared" ref="AC824" si="3494">+AA824/H824</f>
        <v>1.1936282226695957E-2</v>
      </c>
      <c r="AD824" s="33"/>
      <c r="AE824" s="33">
        <f t="shared" ref="AE824" si="3495">+AA824/BW824</f>
        <v>1104.1668711656441</v>
      </c>
      <c r="AF824" s="50"/>
      <c r="AG824" s="33"/>
      <c r="AH824" s="33"/>
      <c r="AI824" s="213"/>
      <c r="AJ824" s="50"/>
      <c r="AL824" s="23">
        <f t="shared" ref="AL824" si="3496">+AP824-AP823</f>
        <v>79565</v>
      </c>
      <c r="AM824" s="24"/>
      <c r="AN824" s="24"/>
      <c r="AO824" s="24">
        <v>178263</v>
      </c>
      <c r="AP824" s="24">
        <v>83159792</v>
      </c>
      <c r="AQ824" s="24">
        <v>20336656</v>
      </c>
      <c r="AR824" s="461">
        <f t="shared" ref="AR824" si="3497">+AL824/AP823</f>
        <v>9.5768876510171305E-4</v>
      </c>
      <c r="AS824" s="25"/>
      <c r="AT824" s="25"/>
      <c r="AU824" s="24"/>
      <c r="AV824" s="298">
        <f t="shared" ref="AV824" si="3498">+AP824/H824</f>
        <v>1.103037181213532</v>
      </c>
      <c r="AW824" s="298"/>
      <c r="AX824" s="24">
        <f t="shared" ref="AX824" si="3499">+AP824/BW824</f>
        <v>102036.55460122699</v>
      </c>
      <c r="AY824" s="308"/>
      <c r="BA824" s="65">
        <f t="shared" ref="BA824" si="3500">+BC824-BC823</f>
        <v>190108</v>
      </c>
      <c r="BB824" s="66"/>
      <c r="BC824" s="66">
        <v>1039574344</v>
      </c>
      <c r="BD824" s="66"/>
      <c r="BE824" s="66">
        <f t="shared" ref="BE824" si="3501">+D824</f>
        <v>16284</v>
      </c>
      <c r="BF824" s="66"/>
      <c r="BG824" s="144">
        <f t="shared" ref="BG824" si="3502">+BE824/BA824</f>
        <v>8.5656574157847123E-2</v>
      </c>
      <c r="BH824" s="66"/>
      <c r="BI824" s="170"/>
      <c r="BJ824" s="66"/>
      <c r="BK824" s="66"/>
      <c r="BL824" s="66"/>
      <c r="BM824" s="144"/>
      <c r="BN824" s="65">
        <f t="shared" ref="BN824" si="3503">+BC824/BW824</f>
        <v>1275551.3423312884</v>
      </c>
      <c r="BO824" s="66"/>
      <c r="BP824" s="66">
        <f t="shared" ref="BP824" si="3504">+BP823+BE824</f>
        <v>74484671</v>
      </c>
      <c r="BQ824" s="66"/>
      <c r="BR824" s="435">
        <f t="shared" ref="BR824" si="3505">+BP824/BC824</f>
        <v>7.1649200877162089E-2</v>
      </c>
      <c r="BS824" s="66"/>
      <c r="BT824" s="75"/>
      <c r="BU824" s="170"/>
      <c r="BV824" s="1"/>
      <c r="BW824" s="61">
        <f t="shared" si="1544"/>
        <v>815</v>
      </c>
      <c r="BY824" s="56"/>
      <c r="BZ824" s="1"/>
      <c r="CA824" s="61"/>
    </row>
    <row r="825" spans="2:79" x14ac:dyDescent="0.3">
      <c r="B825" s="158">
        <f t="shared" si="2425"/>
        <v>44725</v>
      </c>
      <c r="C825" s="61"/>
      <c r="D825" s="17">
        <v>49422</v>
      </c>
      <c r="E825" s="16"/>
      <c r="F825" s="16"/>
      <c r="G825" s="16"/>
      <c r="H825" s="16">
        <f t="shared" ref="H825" si="3506">+H824+D825</f>
        <v>75441071</v>
      </c>
      <c r="I825" s="16"/>
      <c r="J825" s="436">
        <f t="shared" ref="J825" si="3507">+D825/H824</f>
        <v>6.5553679559389921E-4</v>
      </c>
      <c r="K825" s="16"/>
      <c r="L825" s="16"/>
      <c r="M825" s="16"/>
      <c r="N825" s="16">
        <f t="shared" ref="N825" si="3508">SUM(D819:D825)</f>
        <v>499560</v>
      </c>
      <c r="O825" s="16">
        <f t="shared" ref="O825" si="3509">+H825/BW825</f>
        <v>92452.292892156867</v>
      </c>
      <c r="P825" s="41"/>
      <c r="Q825" s="17">
        <f t="shared" ref="Q825" si="3510">SUM(D819:D825)</f>
        <v>499560</v>
      </c>
      <c r="R825" s="16"/>
      <c r="S825" s="60">
        <f t="shared" ref="S825" si="3511">+(Q825-Q818)/Q818</f>
        <v>5.8046861928230893E-2</v>
      </c>
      <c r="T825" s="16"/>
      <c r="U825" s="41"/>
      <c r="V825" s="10">
        <f t="shared" si="558"/>
        <v>717</v>
      </c>
      <c r="W825" s="34">
        <v>117</v>
      </c>
      <c r="X825" s="33">
        <v>4256</v>
      </c>
      <c r="Y825" s="33"/>
      <c r="Z825" s="33">
        <f t="shared" ref="Z825" si="3512">SUM(W820:W825)</f>
        <v>1111</v>
      </c>
      <c r="AA825" s="33">
        <f t="shared" ref="AA825" si="3513">+AA824+W825</f>
        <v>900013</v>
      </c>
      <c r="AB825" s="33"/>
      <c r="AC825" s="46">
        <f t="shared" ref="AC825" si="3514">+AA825/H825</f>
        <v>1.1930013559855214E-2</v>
      </c>
      <c r="AD825" s="33"/>
      <c r="AE825" s="33">
        <f t="shared" ref="AE825" si="3515">+AA825/BW825</f>
        <v>1102.9571078431372</v>
      </c>
      <c r="AF825" s="50"/>
      <c r="AG825" s="33"/>
      <c r="AH825" s="33"/>
      <c r="AI825" s="213"/>
      <c r="AJ825" s="50"/>
      <c r="AL825" s="23">
        <f t="shared" ref="AL825" si="3516">+AP825-AP824</f>
        <v>86006</v>
      </c>
      <c r="AM825" s="24"/>
      <c r="AN825" s="24"/>
      <c r="AO825" s="24">
        <v>178263</v>
      </c>
      <c r="AP825" s="24">
        <v>83245798</v>
      </c>
      <c r="AQ825" s="24">
        <v>20336656</v>
      </c>
      <c r="AR825" s="461">
        <f t="shared" ref="AR825" si="3517">+AL825/AP824</f>
        <v>1.0342257710312696E-3</v>
      </c>
      <c r="AS825" s="25"/>
      <c r="AT825" s="25"/>
      <c r="AU825" s="24"/>
      <c r="AV825" s="298">
        <f t="shared" ref="AV825" si="3518">+AP825/H825</f>
        <v>1.1034546155899616</v>
      </c>
      <c r="AW825" s="298"/>
      <c r="AX825" s="24">
        <f t="shared" ref="AX825" si="3519">+AP825/BW825</f>
        <v>102016.9093137255</v>
      </c>
      <c r="AY825" s="308"/>
      <c r="BA825" s="65">
        <f t="shared" ref="BA825" si="3520">+BC825-BC824</f>
        <v>530919</v>
      </c>
      <c r="BB825" s="66"/>
      <c r="BC825" s="66">
        <v>1040105263</v>
      </c>
      <c r="BD825" s="66"/>
      <c r="BE825" s="66">
        <f t="shared" ref="BE825" si="3521">+D825</f>
        <v>49422</v>
      </c>
      <c r="BF825" s="66"/>
      <c r="BG825" s="144">
        <f t="shared" ref="BG825" si="3522">+BE825/BA825</f>
        <v>9.3087646138111463E-2</v>
      </c>
      <c r="BH825" s="66"/>
      <c r="BI825" s="170"/>
      <c r="BJ825" s="66"/>
      <c r="BK825" s="66"/>
      <c r="BL825" s="66"/>
      <c r="BM825" s="144"/>
      <c r="BN825" s="65">
        <f t="shared" ref="BN825" si="3523">+BC825/BW825</f>
        <v>1274638.8026960783</v>
      </c>
      <c r="BO825" s="66"/>
      <c r="BP825" s="66">
        <f t="shared" ref="BP825" si="3524">+BP824+BE825</f>
        <v>74534093</v>
      </c>
      <c r="BQ825" s="66"/>
      <c r="BR825" s="435">
        <f t="shared" ref="BR825" si="3525">+BP825/BC825</f>
        <v>7.1660144075244431E-2</v>
      </c>
      <c r="BS825" s="66"/>
      <c r="BT825" s="75"/>
      <c r="BU825" s="170"/>
      <c r="BV825" s="1"/>
      <c r="BW825" s="61">
        <f t="shared" si="1544"/>
        <v>816</v>
      </c>
      <c r="BY825" s="56"/>
      <c r="BZ825" s="1"/>
      <c r="CA825" s="61"/>
    </row>
    <row r="826" spans="2:79" x14ac:dyDescent="0.3">
      <c r="B826" s="158">
        <f t="shared" si="2425"/>
        <v>44726</v>
      </c>
      <c r="C826" s="61"/>
      <c r="D826" s="17">
        <v>73312</v>
      </c>
      <c r="E826" s="16"/>
      <c r="F826" s="16"/>
      <c r="G826" s="16"/>
      <c r="H826" s="16">
        <f t="shared" ref="H826" si="3526">+H825+D826</f>
        <v>75514383</v>
      </c>
      <c r="I826" s="16"/>
      <c r="J826" s="436">
        <f t="shared" ref="J826" si="3527">+D826/H825</f>
        <v>9.7177835664607679E-4</v>
      </c>
      <c r="K826" s="16"/>
      <c r="L826" s="16"/>
      <c r="M826" s="16"/>
      <c r="N826" s="16">
        <f t="shared" ref="N826" si="3528">SUM(D820:D826)</f>
        <v>476024</v>
      </c>
      <c r="O826" s="16">
        <f t="shared" ref="O826" si="3529">+H826/BW826</f>
        <v>92428.865361077114</v>
      </c>
      <c r="P826" s="41"/>
      <c r="Q826" s="17">
        <f t="shared" ref="Q826" si="3530">SUM(D820:D826)</f>
        <v>476024</v>
      </c>
      <c r="R826" s="16"/>
      <c r="S826" s="60">
        <f t="shared" ref="S826" si="3531">+(Q826-Q819)/Q819</f>
        <v>-9.3261712239397318E-2</v>
      </c>
      <c r="T826" s="16"/>
      <c r="U826" s="41"/>
      <c r="V826" s="10">
        <f t="shared" si="558"/>
        <v>718</v>
      </c>
      <c r="W826" s="34">
        <v>279</v>
      </c>
      <c r="X826" s="33">
        <v>4256</v>
      </c>
      <c r="Y826" s="33"/>
      <c r="Z826" s="33">
        <f t="shared" ref="Z826" si="3532">SUM(W821:W826)</f>
        <v>954</v>
      </c>
      <c r="AA826" s="33">
        <f t="shared" ref="AA826" si="3533">+AA825+W826</f>
        <v>900292</v>
      </c>
      <c r="AB826" s="33"/>
      <c r="AC826" s="46">
        <f t="shared" ref="AC826" si="3534">+AA826/H826</f>
        <v>1.1922126146485234E-2</v>
      </c>
      <c r="AD826" s="33"/>
      <c r="AE826" s="33">
        <f t="shared" ref="AE826" si="3535">+AA826/BW826</f>
        <v>1101.9485924112607</v>
      </c>
      <c r="AF826" s="50"/>
      <c r="AG826" s="33"/>
      <c r="AH826" s="33"/>
      <c r="AI826" s="213"/>
      <c r="AJ826" s="50"/>
      <c r="AL826" s="23">
        <f t="shared" ref="AL826" si="3536">+AP826-AP825</f>
        <v>93882</v>
      </c>
      <c r="AM826" s="24"/>
      <c r="AN826" s="24"/>
      <c r="AO826" s="24">
        <v>178263</v>
      </c>
      <c r="AP826" s="24">
        <v>83339680</v>
      </c>
      <c r="AQ826" s="24">
        <v>20336656</v>
      </c>
      <c r="AR826" s="461">
        <f t="shared" ref="AR826" si="3537">+AL826/AP825</f>
        <v>1.1277686352409043E-3</v>
      </c>
      <c r="AS826" s="25"/>
      <c r="AT826" s="25"/>
      <c r="AU826" s="24"/>
      <c r="AV826" s="298">
        <f t="shared" ref="AV826" si="3538">+AP826/H826</f>
        <v>1.1036265766748037</v>
      </c>
      <c r="AW826" s="298"/>
      <c r="AX826" s="24">
        <f t="shared" ref="AX826" si="3539">+AP826/BW826</f>
        <v>102006.95226438188</v>
      </c>
      <c r="AY826" s="308"/>
      <c r="BA826" s="65">
        <f t="shared" ref="BA826" si="3540">+BC826-BC825</f>
        <v>388063</v>
      </c>
      <c r="BB826" s="66"/>
      <c r="BC826" s="66">
        <v>1040493326</v>
      </c>
      <c r="BD826" s="66"/>
      <c r="BE826" s="66">
        <f t="shared" ref="BE826" si="3541">+D826</f>
        <v>73312</v>
      </c>
      <c r="BF826" s="66"/>
      <c r="BG826" s="144">
        <f t="shared" ref="BG826" si="3542">+BE826/BA826</f>
        <v>0.18891777881426469</v>
      </c>
      <c r="BH826" s="66"/>
      <c r="BI826" s="170"/>
      <c r="BJ826" s="66"/>
      <c r="BK826" s="66"/>
      <c r="BL826" s="66"/>
      <c r="BM826" s="144"/>
      <c r="BN826" s="65">
        <f t="shared" ref="BN826" si="3543">+BC826/BW826</f>
        <v>1273553.6425948592</v>
      </c>
      <c r="BO826" s="66"/>
      <c r="BP826" s="66">
        <f t="shared" ref="BP826" si="3544">+BP825+BE826</f>
        <v>74607405</v>
      </c>
      <c r="BQ826" s="66"/>
      <c r="BR826" s="435">
        <f t="shared" ref="BR826" si="3545">+BP826/BC826</f>
        <v>7.1703876551342721E-2</v>
      </c>
      <c r="BS826" s="66"/>
      <c r="BT826" s="75"/>
      <c r="BU826" s="170"/>
      <c r="BV826" s="1"/>
      <c r="BW826" s="61">
        <f t="shared" si="1544"/>
        <v>817</v>
      </c>
      <c r="BY826" s="56"/>
      <c r="BZ826" s="1"/>
      <c r="CA826" s="61"/>
    </row>
    <row r="827" spans="2:79" x14ac:dyDescent="0.3">
      <c r="B827" s="158">
        <f t="shared" si="2425"/>
        <v>44727</v>
      </c>
      <c r="C827" s="61"/>
      <c r="D827" s="17">
        <v>99100</v>
      </c>
      <c r="E827" s="16"/>
      <c r="F827" s="16"/>
      <c r="G827" s="16"/>
      <c r="H827" s="16">
        <f t="shared" ref="H827" si="3546">+H826+D827</f>
        <v>75613483</v>
      </c>
      <c r="I827" s="16"/>
      <c r="J827" s="436">
        <f t="shared" ref="J827" si="3547">+D827/H826</f>
        <v>1.3123327777173257E-3</v>
      </c>
      <c r="K827" s="16"/>
      <c r="L827" s="16"/>
      <c r="M827" s="16"/>
      <c r="N827" s="16">
        <f t="shared" ref="N827" si="3548">SUM(D821:D827)</f>
        <v>476359</v>
      </c>
      <c r="O827" s="16">
        <f t="shared" ref="O827" si="3549">+H827/BW827</f>
        <v>92437.020782396081</v>
      </c>
      <c r="P827" s="41"/>
      <c r="Q827" s="17">
        <f t="shared" ref="Q827" si="3550">SUM(D821:D827)</f>
        <v>476359</v>
      </c>
      <c r="R827" s="16"/>
      <c r="S827" s="60">
        <f t="shared" ref="S827" si="3551">+(Q827-Q820)/Q820</f>
        <v>-9.9077818082784555E-2</v>
      </c>
      <c r="T827" s="16"/>
      <c r="U827" s="41"/>
      <c r="V827" s="10">
        <f t="shared" si="558"/>
        <v>719</v>
      </c>
      <c r="W827" s="34">
        <v>305</v>
      </c>
      <c r="X827" s="33">
        <v>4256</v>
      </c>
      <c r="Y827" s="33"/>
      <c r="Z827" s="33">
        <f t="shared" ref="Z827" si="3552">SUM(W822:W827)</f>
        <v>999</v>
      </c>
      <c r="AA827" s="33">
        <f t="shared" ref="AA827" si="3553">+AA826+W827</f>
        <v>900597</v>
      </c>
      <c r="AB827" s="33"/>
      <c r="AC827" s="46">
        <f t="shared" ref="AC827" si="3554">+AA827/H827</f>
        <v>1.1910534527287945E-2</v>
      </c>
      <c r="AD827" s="33"/>
      <c r="AE827" s="33">
        <f t="shared" ref="AE827" si="3555">+AA827/BW827</f>
        <v>1100.9743276283618</v>
      </c>
      <c r="AF827" s="50"/>
      <c r="AG827" s="33"/>
      <c r="AH827" s="33"/>
      <c r="AI827" s="213"/>
      <c r="AJ827" s="50"/>
      <c r="AL827" s="23">
        <f t="shared" ref="AL827" si="3556">+AP827-AP826</f>
        <v>165431</v>
      </c>
      <c r="AM827" s="24"/>
      <c r="AN827" s="24"/>
      <c r="AO827" s="24">
        <v>178263</v>
      </c>
      <c r="AP827" s="24">
        <v>83505111</v>
      </c>
      <c r="AQ827" s="24">
        <v>20336656</v>
      </c>
      <c r="AR827" s="461">
        <f t="shared" ref="AR827" si="3557">+AL827/AP826</f>
        <v>1.9850208208142869E-3</v>
      </c>
      <c r="AS827" s="25"/>
      <c r="AT827" s="25"/>
      <c r="AU827" s="24"/>
      <c r="AV827" s="298">
        <f t="shared" ref="AV827" si="3558">+AP827/H827</f>
        <v>1.1043680000827365</v>
      </c>
      <c r="AW827" s="298"/>
      <c r="AX827" s="24">
        <f t="shared" ref="AX827" si="3559">+AP827/BW827</f>
        <v>102084.48777506112</v>
      </c>
      <c r="AY827" s="308"/>
      <c r="BA827" s="65">
        <f t="shared" ref="BA827" si="3560">+BC827-BC826</f>
        <v>957292</v>
      </c>
      <c r="BB827" s="66"/>
      <c r="BC827" s="66">
        <v>1041450618</v>
      </c>
      <c r="BD827" s="66"/>
      <c r="BE827" s="66">
        <f t="shared" ref="BE827" si="3561">+D827</f>
        <v>99100</v>
      </c>
      <c r="BF827" s="66"/>
      <c r="BG827" s="144">
        <f t="shared" ref="BG827" si="3562">+BE827/BA827</f>
        <v>0.10352118266944674</v>
      </c>
      <c r="BH827" s="66"/>
      <c r="BI827" s="170"/>
      <c r="BJ827" s="66"/>
      <c r="BK827" s="66"/>
      <c r="BL827" s="66"/>
      <c r="BM827" s="144"/>
      <c r="BN827" s="65">
        <f t="shared" ref="BN827" si="3563">+BC827/BW827</f>
        <v>1273167.0146699266</v>
      </c>
      <c r="BO827" s="66"/>
      <c r="BP827" s="66">
        <f t="shared" ref="BP827" si="3564">+BP826+BE827</f>
        <v>74706505</v>
      </c>
      <c r="BQ827" s="66"/>
      <c r="BR827" s="435">
        <f t="shared" ref="BR827" si="3565">+BP827/BC827</f>
        <v>7.1733122731701141E-2</v>
      </c>
      <c r="BS827" s="66"/>
      <c r="BT827" s="75"/>
      <c r="BU827" s="170"/>
      <c r="BV827" s="1"/>
      <c r="BW827" s="61">
        <f t="shared" si="1544"/>
        <v>818</v>
      </c>
      <c r="BY827" s="56"/>
      <c r="BZ827" s="1"/>
      <c r="CA827" s="61"/>
    </row>
    <row r="828" spans="2:79" x14ac:dyDescent="0.3">
      <c r="B828" s="158">
        <f t="shared" si="2425"/>
        <v>44728</v>
      </c>
      <c r="C828" s="61"/>
      <c r="D828" s="17">
        <v>92472</v>
      </c>
      <c r="E828" s="16"/>
      <c r="F828" s="16"/>
      <c r="G828" s="16"/>
      <c r="H828" s="16">
        <f t="shared" ref="H828" si="3566">+H827+D828</f>
        <v>75705955</v>
      </c>
      <c r="I828" s="16"/>
      <c r="J828" s="436">
        <f t="shared" ref="J828" si="3567">+D828/H827</f>
        <v>1.2229564930899956E-3</v>
      </c>
      <c r="K828" s="16"/>
      <c r="L828" s="16"/>
      <c r="M828" s="16"/>
      <c r="N828" s="16">
        <f t="shared" ref="N828" si="3568">SUM(D822:D828)</f>
        <v>464203</v>
      </c>
      <c r="O828" s="16">
        <f t="shared" ref="O828" si="3569">+H828/BW828</f>
        <v>92437.063492063491</v>
      </c>
      <c r="P828" s="41"/>
      <c r="Q828" s="17">
        <f t="shared" ref="Q828" si="3570">SUM(D822:D828)</f>
        <v>464203</v>
      </c>
      <c r="R828" s="16"/>
      <c r="S828" s="60">
        <f t="shared" ref="S828" si="3571">+(Q828-Q821)/Q821</f>
        <v>-0.15672742598250974</v>
      </c>
      <c r="T828" s="16"/>
      <c r="U828" s="41"/>
      <c r="V828" s="10">
        <f t="shared" si="558"/>
        <v>720</v>
      </c>
      <c r="W828" s="34">
        <v>237</v>
      </c>
      <c r="X828" s="33">
        <v>4256</v>
      </c>
      <c r="Y828" s="33"/>
      <c r="Z828" s="33">
        <f t="shared" ref="Z828" si="3572">SUM(W823:W828)</f>
        <v>1031</v>
      </c>
      <c r="AA828" s="33">
        <f t="shared" ref="AA828" si="3573">+AA827+W828</f>
        <v>900834</v>
      </c>
      <c r="AB828" s="33"/>
      <c r="AC828" s="46">
        <f t="shared" ref="AC828" si="3574">+AA828/H828</f>
        <v>1.1899116786783813E-2</v>
      </c>
      <c r="AD828" s="33"/>
      <c r="AE828" s="33">
        <f t="shared" ref="AE828" si="3575">+AA828/BW828</f>
        <v>1099.919413919414</v>
      </c>
      <c r="AF828" s="50"/>
      <c r="AG828" s="33"/>
      <c r="AH828" s="33"/>
      <c r="AI828" s="213"/>
      <c r="AJ828" s="50"/>
      <c r="AL828" s="23">
        <f t="shared" ref="AL828" si="3576">+AP828-AP827</f>
        <v>106497</v>
      </c>
      <c r="AM828" s="24"/>
      <c r="AN828" s="24"/>
      <c r="AO828" s="24">
        <v>178263</v>
      </c>
      <c r="AP828" s="24">
        <v>83611608</v>
      </c>
      <c r="AQ828" s="24">
        <v>20336656</v>
      </c>
      <c r="AR828" s="461">
        <f t="shared" ref="AR828" si="3577">+AL828/AP827</f>
        <v>1.2753351109251266E-3</v>
      </c>
      <c r="AS828" s="25"/>
      <c r="AT828" s="25"/>
      <c r="AU828" s="24"/>
      <c r="AV828" s="298">
        <f t="shared" ref="AV828" si="3578">+AP828/H828</f>
        <v>1.1044257746963235</v>
      </c>
      <c r="AW828" s="298"/>
      <c r="AX828" s="24">
        <f t="shared" ref="AX828" si="3579">+AP828/BW828</f>
        <v>102089.87545787546</v>
      </c>
      <c r="AY828" s="308"/>
      <c r="BA828" s="65">
        <f t="shared" ref="BA828" si="3580">+BC828-BC827</f>
        <v>405695</v>
      </c>
      <c r="BB828" s="66"/>
      <c r="BC828" s="66">
        <v>1041856313</v>
      </c>
      <c r="BD828" s="66"/>
      <c r="BE828" s="66">
        <f t="shared" ref="BE828" si="3581">+D828</f>
        <v>92472</v>
      </c>
      <c r="BF828" s="66"/>
      <c r="BG828" s="144">
        <f t="shared" ref="BG828" si="3582">+BE828/BA828</f>
        <v>0.22793477858982733</v>
      </c>
      <c r="BH828" s="66"/>
      <c r="BI828" s="170"/>
      <c r="BJ828" s="66"/>
      <c r="BK828" s="66"/>
      <c r="BL828" s="66"/>
      <c r="BM828" s="144"/>
      <c r="BN828" s="65">
        <f t="shared" ref="BN828" si="3583">+BC828/BW828</f>
        <v>1272107.8302808304</v>
      </c>
      <c r="BO828" s="66"/>
      <c r="BP828" s="66">
        <f t="shared" ref="BP828" si="3584">+BP827+BE828</f>
        <v>74798977</v>
      </c>
      <c r="BQ828" s="66"/>
      <c r="BR828" s="435">
        <f t="shared" ref="BR828" si="3585">+BP828/BC828</f>
        <v>7.1793947079533599E-2</v>
      </c>
      <c r="BS828" s="66"/>
      <c r="BT828" s="75"/>
      <c r="BU828" s="170"/>
      <c r="BV828" s="1"/>
      <c r="BW828" s="61">
        <f t="shared" si="1544"/>
        <v>819</v>
      </c>
      <c r="BY828" s="56"/>
      <c r="BZ828" s="1"/>
      <c r="CA828" s="61"/>
    </row>
    <row r="829" spans="2:79" x14ac:dyDescent="0.3">
      <c r="B829" s="158">
        <f t="shared" si="2425"/>
        <v>44729</v>
      </c>
      <c r="C829" s="61"/>
      <c r="D829" s="17">
        <v>81733</v>
      </c>
      <c r="E829" s="16"/>
      <c r="F829" s="16"/>
      <c r="G829" s="16"/>
      <c r="H829" s="16">
        <f t="shared" ref="H829" si="3586">+H828+D829</f>
        <v>75787688</v>
      </c>
      <c r="I829" s="16"/>
      <c r="J829" s="436">
        <f t="shared" ref="J829" si="3587">+D829/H828</f>
        <v>1.0796112406216921E-3</v>
      </c>
      <c r="K829" s="16"/>
      <c r="L829" s="16"/>
      <c r="M829" s="16"/>
      <c r="N829" s="16">
        <f t="shared" ref="N829" si="3588">SUM(D823:D829)</f>
        <v>452066</v>
      </c>
      <c r="O829" s="16">
        <f t="shared" ref="O829" si="3589">+H829/BW829</f>
        <v>92424.009756097556</v>
      </c>
      <c r="P829" s="41"/>
      <c r="Q829" s="17">
        <f t="shared" ref="Q829" si="3590">SUM(D823:D829)</f>
        <v>452066</v>
      </c>
      <c r="R829" s="16"/>
      <c r="S829" s="60">
        <f t="shared" ref="S829" si="3591">+(Q829-Q822)/Q822</f>
        <v>-0.16458428428076957</v>
      </c>
      <c r="T829" s="16"/>
      <c r="U829" s="41"/>
      <c r="V829" s="10">
        <f t="shared" si="558"/>
        <v>721</v>
      </c>
      <c r="W829" s="34">
        <v>200</v>
      </c>
      <c r="X829" s="33">
        <v>4256</v>
      </c>
      <c r="Y829" s="33"/>
      <c r="Z829" s="33">
        <f t="shared" ref="Z829" si="3592">SUM(W824:W829)</f>
        <v>1157</v>
      </c>
      <c r="AA829" s="33">
        <f t="shared" ref="AA829" si="3593">+AA828+W829</f>
        <v>901034</v>
      </c>
      <c r="AB829" s="33"/>
      <c r="AC829" s="46">
        <f t="shared" ref="AC829" si="3594">+AA829/H829</f>
        <v>1.1888923171795398E-2</v>
      </c>
      <c r="AD829" s="33"/>
      <c r="AE829" s="33">
        <f t="shared" ref="AE829" si="3595">+AA829/BW829</f>
        <v>1098.8219512195121</v>
      </c>
      <c r="AF829" s="50"/>
      <c r="AG829" s="33"/>
      <c r="AH829" s="33"/>
      <c r="AI829" s="213"/>
      <c r="AJ829" s="50"/>
      <c r="AL829" s="23">
        <f t="shared" ref="AL829" si="3596">+AP829-AP828</f>
        <v>85407</v>
      </c>
      <c r="AM829" s="24"/>
      <c r="AN829" s="24"/>
      <c r="AO829" s="24">
        <v>178263</v>
      </c>
      <c r="AP829" s="24">
        <v>83697015</v>
      </c>
      <c r="AQ829" s="24">
        <v>20336656</v>
      </c>
      <c r="AR829" s="461">
        <f t="shared" ref="AR829" si="3597">+AL829/AP828</f>
        <v>1.0214729992993317E-3</v>
      </c>
      <c r="AS829" s="25"/>
      <c r="AT829" s="25"/>
      <c r="AU829" s="24"/>
      <c r="AV829" s="298">
        <f t="shared" ref="AV829" si="3598">+AP829/H829</f>
        <v>1.1043616345705123</v>
      </c>
      <c r="AW829" s="298"/>
      <c r="AX829" s="24">
        <f t="shared" ref="AX829" si="3599">+AP829/BW829</f>
        <v>102069.53048780488</v>
      </c>
      <c r="AY829" s="308"/>
      <c r="BA829" s="65">
        <f t="shared" ref="BA829" si="3600">+BC829-BC828</f>
        <v>411895</v>
      </c>
      <c r="BB829" s="66"/>
      <c r="BC829" s="66">
        <v>1042268208</v>
      </c>
      <c r="BD829" s="66"/>
      <c r="BE829" s="66">
        <f t="shared" ref="BE829" si="3601">+D829</f>
        <v>81733</v>
      </c>
      <c r="BF829" s="66"/>
      <c r="BG829" s="144">
        <f t="shared" ref="BG829" si="3602">+BE829/BA829</f>
        <v>0.19843163913133202</v>
      </c>
      <c r="BH829" s="66"/>
      <c r="BI829" s="170"/>
      <c r="BJ829" s="66"/>
      <c r="BK829" s="66"/>
      <c r="BL829" s="66"/>
      <c r="BM829" s="144"/>
      <c r="BN829" s="65">
        <f t="shared" ref="BN829" si="3603">+BC829/BW829</f>
        <v>1271058.7902439025</v>
      </c>
      <c r="BO829" s="66"/>
      <c r="BP829" s="66">
        <f t="shared" ref="BP829" si="3604">+BP828+BE829</f>
        <v>74880710</v>
      </c>
      <c r="BQ829" s="66"/>
      <c r="BR829" s="435">
        <f t="shared" ref="BR829" si="3605">+BP829/BC829</f>
        <v>7.1843993153823602E-2</v>
      </c>
      <c r="BS829" s="66"/>
      <c r="BT829" s="75"/>
      <c r="BU829" s="170"/>
      <c r="BV829" s="1"/>
      <c r="BW829" s="61">
        <f t="shared" si="1544"/>
        <v>820</v>
      </c>
      <c r="BY829" s="56"/>
      <c r="BZ829" s="1"/>
      <c r="CA829" s="61"/>
    </row>
    <row r="830" spans="2:79" x14ac:dyDescent="0.3">
      <c r="B830" s="158">
        <f t="shared" si="2425"/>
        <v>44730</v>
      </c>
      <c r="C830" s="61"/>
      <c r="D830" s="17">
        <v>30852</v>
      </c>
      <c r="E830" s="16"/>
      <c r="F830" s="16"/>
      <c r="G830" s="16"/>
      <c r="H830" s="16">
        <f t="shared" ref="H830" si="3606">+H829+D830</f>
        <v>75818540</v>
      </c>
      <c r="I830" s="16"/>
      <c r="J830" s="436">
        <f t="shared" ref="J830" si="3607">+D830/H829</f>
        <v>4.0708459136528876E-4</v>
      </c>
      <c r="K830" s="16"/>
      <c r="L830" s="16"/>
      <c r="M830" s="16"/>
      <c r="N830" s="16">
        <f t="shared" ref="N830" si="3608">SUM(D824:D830)</f>
        <v>443175</v>
      </c>
      <c r="O830" s="16">
        <f t="shared" ref="O830" si="3609">+H830/BW830</f>
        <v>92349.013398294759</v>
      </c>
      <c r="P830" s="41"/>
      <c r="Q830" s="17">
        <f t="shared" ref="Q830" si="3610">SUM(D824:D830)</f>
        <v>443175</v>
      </c>
      <c r="R830" s="16"/>
      <c r="S830" s="60">
        <f t="shared" ref="S830" si="3611">+(Q830-Q823)/Q823</f>
        <v>-0.17115524883577399</v>
      </c>
      <c r="T830" s="16"/>
      <c r="U830" s="41"/>
      <c r="V830" s="10">
        <f t="shared" si="558"/>
        <v>722</v>
      </c>
      <c r="W830" s="34">
        <v>45</v>
      </c>
      <c r="X830" s="33">
        <v>4256</v>
      </c>
      <c r="Y830" s="33"/>
      <c r="Z830" s="33">
        <f t="shared" ref="Z830" si="3612">SUM(W825:W830)</f>
        <v>1183</v>
      </c>
      <c r="AA830" s="33">
        <f t="shared" ref="AA830" si="3613">+AA829+W830</f>
        <v>901079</v>
      </c>
      <c r="AB830" s="33"/>
      <c r="AC830" s="46">
        <f t="shared" ref="AC830" si="3614">+AA830/H830</f>
        <v>1.1884678866145405E-2</v>
      </c>
      <c r="AD830" s="33"/>
      <c r="AE830" s="33">
        <f t="shared" ref="AE830" si="3615">+AA830/BW830</f>
        <v>1097.5383678440926</v>
      </c>
      <c r="AF830" s="50"/>
      <c r="AG830" s="33"/>
      <c r="AH830" s="33"/>
      <c r="AI830" s="213"/>
      <c r="AJ830" s="50"/>
      <c r="AL830" s="23">
        <f t="shared" ref="AL830" si="3616">+AP830-AP829</f>
        <v>68107</v>
      </c>
      <c r="AM830" s="24"/>
      <c r="AN830" s="24"/>
      <c r="AO830" s="24">
        <v>178263</v>
      </c>
      <c r="AP830" s="24">
        <v>83765122</v>
      </c>
      <c r="AQ830" s="24">
        <v>20336656</v>
      </c>
      <c r="AR830" s="461">
        <f t="shared" ref="AR830" si="3617">+AL830/AP829</f>
        <v>8.1373272392091882E-4</v>
      </c>
      <c r="AS830" s="25"/>
      <c r="AT830" s="25"/>
      <c r="AU830" s="24"/>
      <c r="AV830" s="298">
        <f t="shared" ref="AV830" si="3618">+AP830/H830</f>
        <v>1.1048105384250344</v>
      </c>
      <c r="AW830" s="298"/>
      <c r="AX830" s="24">
        <f t="shared" ref="AX830" si="3619">+AP830/BW830</f>
        <v>102028.16321559074</v>
      </c>
      <c r="AY830" s="308"/>
      <c r="BA830" s="65">
        <f t="shared" ref="BA830" si="3620">+BC830-BC829</f>
        <v>48905</v>
      </c>
      <c r="BB830" s="66"/>
      <c r="BC830" s="66">
        <v>1042317113</v>
      </c>
      <c r="BD830" s="66"/>
      <c r="BE830" s="66">
        <f t="shared" ref="BE830" si="3621">+D830</f>
        <v>30852</v>
      </c>
      <c r="BF830" s="66"/>
      <c r="BG830" s="144">
        <f t="shared" ref="BG830" si="3622">+BE830/BA830</f>
        <v>0.63085574072180761</v>
      </c>
      <c r="BH830" s="66"/>
      <c r="BI830" s="170"/>
      <c r="BJ830" s="66"/>
      <c r="BK830" s="66"/>
      <c r="BL830" s="66"/>
      <c r="BM830" s="144"/>
      <c r="BN830" s="65">
        <f t="shared" ref="BN830" si="3623">+BC830/BW830</f>
        <v>1269570.174177832</v>
      </c>
      <c r="BO830" s="66"/>
      <c r="BP830" s="66">
        <f t="shared" ref="BP830" si="3624">+BP829+BE830</f>
        <v>74911562</v>
      </c>
      <c r="BQ830" s="66"/>
      <c r="BR830" s="435">
        <f t="shared" ref="BR830" si="3625">+BP830/BC830</f>
        <v>7.1870221706702417E-2</v>
      </c>
      <c r="BS830" s="66"/>
      <c r="BT830" s="75"/>
      <c r="BU830" s="170"/>
      <c r="BV830" s="1"/>
      <c r="BW830" s="61">
        <f t="shared" si="1544"/>
        <v>821</v>
      </c>
      <c r="BY830" s="56"/>
      <c r="BZ830" s="1"/>
      <c r="CA830" s="61"/>
    </row>
    <row r="831" spans="2:79" x14ac:dyDescent="0.3">
      <c r="B831" s="347">
        <f t="shared" si="2425"/>
        <v>44731</v>
      </c>
      <c r="C831" s="61"/>
      <c r="D831" s="17">
        <v>30747</v>
      </c>
      <c r="E831" s="16"/>
      <c r="F831" s="16"/>
      <c r="G831" s="16"/>
      <c r="H831" s="16">
        <f t="shared" ref="H831" si="3626">+H830+D831</f>
        <v>75849287</v>
      </c>
      <c r="I831" s="16"/>
      <c r="J831" s="436">
        <f t="shared" ref="J831" si="3627">+D831/H830</f>
        <v>4.0553405539067359E-4</v>
      </c>
      <c r="K831" s="16"/>
      <c r="L831" s="16"/>
      <c r="M831" s="16"/>
      <c r="N831" s="16">
        <f t="shared" ref="N831" si="3628">SUM(D825:D831)</f>
        <v>457638</v>
      </c>
      <c r="O831" s="16">
        <f t="shared" ref="O831" si="3629">+H831/BW831</f>
        <v>92274.071776155717</v>
      </c>
      <c r="P831" s="41"/>
      <c r="Q831" s="17">
        <f t="shared" ref="Q831" si="3630">SUM(D825:D831)</f>
        <v>457638</v>
      </c>
      <c r="R831" s="16"/>
      <c r="S831" s="60">
        <f t="shared" ref="S831" si="3631">+(Q831-Q824)/Q824</f>
        <v>-0.13892035298323518</v>
      </c>
      <c r="T831" s="16"/>
      <c r="U831" s="41"/>
      <c r="V831" s="10">
        <f t="shared" si="558"/>
        <v>723</v>
      </c>
      <c r="W831" s="34">
        <v>30</v>
      </c>
      <c r="X831" s="33">
        <v>4256</v>
      </c>
      <c r="Y831" s="33"/>
      <c r="Z831" s="33">
        <f t="shared" ref="Z831" si="3632">SUM(W826:W831)</f>
        <v>1096</v>
      </c>
      <c r="AA831" s="33">
        <f t="shared" ref="AA831" si="3633">+AA830+W831</f>
        <v>901109</v>
      </c>
      <c r="AB831" s="33"/>
      <c r="AC831" s="46">
        <f t="shared" ref="AC831" si="3634">+AA831/H831</f>
        <v>1.1880256699051106E-2</v>
      </c>
      <c r="AD831" s="33"/>
      <c r="AE831" s="33">
        <f t="shared" ref="AE831" si="3635">+AA831/BW831</f>
        <v>1096.2396593673966</v>
      </c>
      <c r="AF831" s="50"/>
      <c r="AG831" s="33"/>
      <c r="AH831" s="33"/>
      <c r="AI831" s="213"/>
      <c r="AJ831" s="50"/>
      <c r="AL831" s="23">
        <f t="shared" ref="AL831" si="3636">+AP831-AP830</f>
        <v>104394</v>
      </c>
      <c r="AM831" s="24"/>
      <c r="AN831" s="24"/>
      <c r="AO831" s="24">
        <v>178263</v>
      </c>
      <c r="AP831" s="24">
        <v>83869516</v>
      </c>
      <c r="AQ831" s="24">
        <v>20336656</v>
      </c>
      <c r="AR831" s="461">
        <f t="shared" ref="AR831" si="3637">+AL831/AP830</f>
        <v>1.2462704942995248E-3</v>
      </c>
      <c r="AS831" s="25"/>
      <c r="AT831" s="25"/>
      <c r="AU831" s="24"/>
      <c r="AV831" s="298">
        <f t="shared" ref="AV831" si="3638">+AP831/H831</f>
        <v>1.1057390163733509</v>
      </c>
      <c r="AW831" s="298"/>
      <c r="AX831" s="24">
        <f t="shared" ref="AX831" si="3639">+AP831/BW831</f>
        <v>102031.04136253042</v>
      </c>
      <c r="AY831" s="308"/>
      <c r="BA831" s="65">
        <f t="shared" ref="BA831" si="3640">+BC831-BC830</f>
        <v>233516</v>
      </c>
      <c r="BB831" s="66"/>
      <c r="BC831" s="66">
        <v>1042550629</v>
      </c>
      <c r="BD831" s="66"/>
      <c r="BE831" s="66">
        <f t="shared" ref="BE831" si="3641">+D831</f>
        <v>30747</v>
      </c>
      <c r="BF831" s="66"/>
      <c r="BG831" s="144">
        <f t="shared" ref="BG831" si="3642">+BE831/BA831</f>
        <v>0.13166977851624728</v>
      </c>
      <c r="BH831" s="66"/>
      <c r="BI831" s="170"/>
      <c r="BJ831" s="66"/>
      <c r="BK831" s="66"/>
      <c r="BL831" s="66"/>
      <c r="BM831" s="144"/>
      <c r="BN831" s="65">
        <f t="shared" ref="BN831" si="3643">+BC831/BW831</f>
        <v>1268309.7676399027</v>
      </c>
      <c r="BO831" s="66"/>
      <c r="BP831" s="66">
        <f t="shared" ref="BP831" si="3644">+BP830+BE831</f>
        <v>74942309</v>
      </c>
      <c r="BQ831" s="66"/>
      <c r="BR831" s="435">
        <f t="shared" ref="BR831" si="3645">+BP831/BC831</f>
        <v>7.1883615927490846E-2</v>
      </c>
      <c r="BS831" s="66"/>
      <c r="BT831" s="75"/>
      <c r="BU831" s="170"/>
      <c r="BV831" s="1"/>
      <c r="BW831" s="61">
        <f t="shared" si="1544"/>
        <v>822</v>
      </c>
      <c r="BY831" s="56"/>
      <c r="BZ831" s="1"/>
      <c r="CA831" s="61"/>
    </row>
    <row r="832" spans="2:79" x14ac:dyDescent="0.3">
      <c r="B832" s="158">
        <f t="shared" si="2425"/>
        <v>44732</v>
      </c>
      <c r="C832" s="61"/>
      <c r="D832" s="17">
        <v>22762</v>
      </c>
      <c r="E832" s="16"/>
      <c r="F832" s="16"/>
      <c r="G832" s="16"/>
      <c r="H832" s="16">
        <f t="shared" ref="H832" si="3646">+H831+D832</f>
        <v>75872049</v>
      </c>
      <c r="I832" s="16"/>
      <c r="J832" s="436">
        <f t="shared" ref="J832" si="3647">+D832/H831</f>
        <v>3.0009510834294329E-4</v>
      </c>
      <c r="K832" s="16"/>
      <c r="L832" s="16"/>
      <c r="M832" s="16"/>
      <c r="N832" s="16">
        <f t="shared" ref="N832" si="3648">SUM(D826:D832)</f>
        <v>430978</v>
      </c>
      <c r="O832" s="16">
        <f t="shared" ref="O832" si="3649">+H832/BW832</f>
        <v>92189.609963547991</v>
      </c>
      <c r="P832" s="41"/>
      <c r="Q832" s="17">
        <f t="shared" ref="Q832" si="3650">SUM(D826:D832)</f>
        <v>430978</v>
      </c>
      <c r="R832" s="16"/>
      <c r="S832" s="60">
        <f t="shared" ref="S832" si="3651">+(Q832-Q825)/Q825</f>
        <v>-0.13728481063335735</v>
      </c>
      <c r="T832" s="16"/>
      <c r="U832" s="41"/>
      <c r="V832" s="10">
        <f t="shared" si="558"/>
        <v>724</v>
      </c>
      <c r="W832" s="34">
        <v>31</v>
      </c>
      <c r="X832" s="33">
        <v>4256</v>
      </c>
      <c r="Y832" s="33"/>
      <c r="Z832" s="33">
        <f t="shared" ref="Z832" si="3652">SUM(W827:W832)</f>
        <v>848</v>
      </c>
      <c r="AA832" s="33">
        <f t="shared" ref="AA832" si="3653">+AA831+W832</f>
        <v>901140</v>
      </c>
      <c r="AB832" s="33"/>
      <c r="AC832" s="46">
        <f t="shared" ref="AC832" si="3654">+AA832/H832</f>
        <v>1.1877101144322595E-2</v>
      </c>
      <c r="AD832" s="33"/>
      <c r="AE832" s="33">
        <f t="shared" ref="AE832" si="3655">+AA832/BW832</f>
        <v>1094.9453219927095</v>
      </c>
      <c r="AF832" s="50"/>
      <c r="AG832" s="33"/>
      <c r="AH832" s="33"/>
      <c r="AI832" s="213"/>
      <c r="AJ832" s="50"/>
      <c r="AL832" s="23">
        <f t="shared" ref="AL832" si="3656">+AP832-AP831</f>
        <v>78060</v>
      </c>
      <c r="AM832" s="24"/>
      <c r="AN832" s="24"/>
      <c r="AO832" s="24">
        <v>178263</v>
      </c>
      <c r="AP832" s="24">
        <v>83947576</v>
      </c>
      <c r="AQ832" s="24">
        <v>20336656</v>
      </c>
      <c r="AR832" s="461">
        <f t="shared" ref="AR832" si="3657">+AL832/AP831</f>
        <v>9.3073149486161335E-4</v>
      </c>
      <c r="AS832" s="25"/>
      <c r="AT832" s="25"/>
      <c r="AU832" s="24"/>
      <c r="AV832" s="298">
        <f t="shared" ref="AV832" si="3658">+AP832/H832</f>
        <v>1.1064361264317508</v>
      </c>
      <c r="AW832" s="298"/>
      <c r="AX832" s="24">
        <f t="shared" ref="AX832" si="3659">+AP832/BW832</f>
        <v>102001.91494532199</v>
      </c>
      <c r="AY832" s="308"/>
      <c r="BA832" s="65">
        <f t="shared" ref="BA832" si="3660">+BC832-BC831</f>
        <v>196178</v>
      </c>
      <c r="BB832" s="66"/>
      <c r="BC832" s="66">
        <v>1042746807</v>
      </c>
      <c r="BD832" s="66"/>
      <c r="BE832" s="66">
        <f t="shared" ref="BE832" si="3661">+D832</f>
        <v>22762</v>
      </c>
      <c r="BF832" s="66"/>
      <c r="BG832" s="144">
        <f t="shared" ref="BG832" si="3662">+BE832/BA832</f>
        <v>0.11602728134653223</v>
      </c>
      <c r="BH832" s="66"/>
      <c r="BI832" s="170"/>
      <c r="BJ832" s="66"/>
      <c r="BK832" s="66"/>
      <c r="BL832" s="66"/>
      <c r="BM832" s="144"/>
      <c r="BN832" s="65">
        <f t="shared" ref="BN832" si="3663">+BC832/BW832</f>
        <v>1267007.055893074</v>
      </c>
      <c r="BO832" s="66"/>
      <c r="BP832" s="66">
        <f t="shared" ref="BP832" si="3664">+BP831+BE832</f>
        <v>74965071</v>
      </c>
      <c r="BQ832" s="66"/>
      <c r="BR832" s="435">
        <f t="shared" ref="BR832" si="3665">+BP832/BC832</f>
        <v>7.1891920931099043E-2</v>
      </c>
      <c r="BS832" s="66"/>
      <c r="BT832" s="75"/>
      <c r="BU832" s="170"/>
      <c r="BV832" s="1"/>
      <c r="BW832" s="61">
        <f t="shared" si="1544"/>
        <v>823</v>
      </c>
      <c r="BY832" s="59">
        <f>+BY769/BY690</f>
        <v>0.74248886945318338</v>
      </c>
    </row>
    <row r="833" spans="2:77" x14ac:dyDescent="0.3">
      <c r="B833" s="158">
        <f t="shared" si="2425"/>
        <v>44733</v>
      </c>
      <c r="C833" s="61"/>
      <c r="D833" s="17">
        <v>84120</v>
      </c>
      <c r="E833" s="16"/>
      <c r="F833" s="16"/>
      <c r="G833" s="16"/>
      <c r="H833" s="16">
        <f t="shared" ref="H833" si="3666">+H832+D833</f>
        <v>75956169</v>
      </c>
      <c r="I833" s="16"/>
      <c r="J833" s="436">
        <f t="shared" ref="J833" si="3667">+D833/H832</f>
        <v>1.1087086892829269E-3</v>
      </c>
      <c r="K833" s="16"/>
      <c r="L833" s="16"/>
      <c r="M833" s="16"/>
      <c r="N833" s="16">
        <f t="shared" ref="N833" si="3668">SUM(D827:D833)</f>
        <v>441786</v>
      </c>
      <c r="O833" s="16">
        <f t="shared" ref="O833" si="3669">+H833/BW833</f>
        <v>92179.816747572811</v>
      </c>
      <c r="P833" s="41"/>
      <c r="Q833" s="17">
        <f t="shared" ref="Q833" si="3670">SUM(D827:D833)</f>
        <v>441786</v>
      </c>
      <c r="R833" s="16"/>
      <c r="S833" s="60">
        <f t="shared" ref="S833" si="3671">+(Q833-Q826)/Q826</f>
        <v>-7.1924944960758283E-2</v>
      </c>
      <c r="T833" s="16"/>
      <c r="U833" s="41"/>
      <c r="V833" s="10">
        <f t="shared" si="558"/>
        <v>725</v>
      </c>
      <c r="W833" s="34">
        <v>192</v>
      </c>
      <c r="X833" s="33">
        <v>4256</v>
      </c>
      <c r="Y833" s="33"/>
      <c r="Z833" s="33">
        <f t="shared" ref="Z833" si="3672">SUM(W828:W833)</f>
        <v>735</v>
      </c>
      <c r="AA833" s="33">
        <f t="shared" ref="AA833" si="3673">+AA832+W833</f>
        <v>901332</v>
      </c>
      <c r="AB833" s="33"/>
      <c r="AC833" s="46">
        <f t="shared" ref="AC833" si="3674">+AA833/H833</f>
        <v>1.1866475256275761E-2</v>
      </c>
      <c r="AD833" s="33"/>
      <c r="AE833" s="33">
        <f t="shared" ref="AE833" si="3675">+AA833/BW833</f>
        <v>1093.8495145631068</v>
      </c>
      <c r="AF833" s="50"/>
      <c r="AG833" s="33"/>
      <c r="AH833" s="33"/>
      <c r="AI833" s="213"/>
      <c r="AJ833" s="50"/>
      <c r="AL833" s="23">
        <f t="shared" ref="AL833" si="3676">+AP833-AP832</f>
        <v>92901</v>
      </c>
      <c r="AM833" s="24"/>
      <c r="AN833" s="24"/>
      <c r="AO833" s="24">
        <v>178263</v>
      </c>
      <c r="AP833" s="24">
        <v>84040477</v>
      </c>
      <c r="AQ833" s="24">
        <v>20336656</v>
      </c>
      <c r="AR833" s="461">
        <f t="shared" ref="AR833" si="3677">+AL833/AP832</f>
        <v>1.1066549437949227E-3</v>
      </c>
      <c r="AS833" s="25"/>
      <c r="AT833" s="25"/>
      <c r="AU833" s="24"/>
      <c r="AV833" s="298">
        <f t="shared" ref="AV833" si="3678">+AP833/H833</f>
        <v>1.1064338566101195</v>
      </c>
      <c r="AW833" s="298"/>
      <c r="AX833" s="24">
        <f t="shared" ref="AX833" si="3679">+AP833/BW833</f>
        <v>101990.87014563107</v>
      </c>
      <c r="AY833" s="308"/>
      <c r="BA833" s="65">
        <f t="shared" ref="BA833" si="3680">+BC833-BC832</f>
        <v>916914</v>
      </c>
      <c r="BB833" s="66"/>
      <c r="BC833" s="66">
        <v>1043663721</v>
      </c>
      <c r="BD833" s="66"/>
      <c r="BE833" s="66">
        <f t="shared" ref="BE833" si="3681">+D833</f>
        <v>84120</v>
      </c>
      <c r="BF833" s="66"/>
      <c r="BG833" s="144">
        <f t="shared" ref="BG833" si="3682">+BE833/BA833</f>
        <v>9.1742518927620254E-2</v>
      </c>
      <c r="BH833" s="66"/>
      <c r="BI833" s="170"/>
      <c r="BJ833" s="66"/>
      <c r="BK833" s="66"/>
      <c r="BL833" s="66"/>
      <c r="BM833" s="144"/>
      <c r="BN833" s="65">
        <f t="shared" ref="BN833" si="3683">+BC833/BW833</f>
        <v>1266582.1856796117</v>
      </c>
      <c r="BO833" s="66"/>
      <c r="BP833" s="66">
        <f t="shared" ref="BP833" si="3684">+BP832+BE833</f>
        <v>75049191</v>
      </c>
      <c r="BQ833" s="66"/>
      <c r="BR833" s="435">
        <f t="shared" ref="BR833" si="3685">+BP833/BC833</f>
        <v>7.1909360735554401E-2</v>
      </c>
      <c r="BS833" s="66"/>
      <c r="BT833" s="75"/>
      <c r="BU833" s="170"/>
      <c r="BV833" s="1"/>
      <c r="BW833" s="61">
        <f t="shared" si="1544"/>
        <v>824</v>
      </c>
      <c r="BY833" s="59"/>
    </row>
    <row r="834" spans="2:77" x14ac:dyDescent="0.3">
      <c r="B834" s="158">
        <f t="shared" si="2425"/>
        <v>44734</v>
      </c>
      <c r="C834" s="61"/>
      <c r="D834" s="17">
        <v>93837</v>
      </c>
      <c r="E834" s="16"/>
      <c r="F834" s="16"/>
      <c r="G834" s="16"/>
      <c r="H834" s="16">
        <f t="shared" ref="H834" si="3686">+H833+D834</f>
        <v>76050006</v>
      </c>
      <c r="I834" s="16"/>
      <c r="J834" s="436">
        <f t="shared" ref="J834" si="3687">+D834/H833</f>
        <v>1.2354098585461834E-3</v>
      </c>
      <c r="K834" s="16"/>
      <c r="L834" s="16"/>
      <c r="M834" s="16"/>
      <c r="N834" s="16">
        <f t="shared" ref="N834" si="3688">SUM(D828:D834)</f>
        <v>436523</v>
      </c>
      <c r="O834" s="16">
        <f t="shared" ref="O834" si="3689">+H834/BW834</f>
        <v>92181.825454545455</v>
      </c>
      <c r="P834" s="41"/>
      <c r="Q834" s="17">
        <f t="shared" ref="Q834" si="3690">SUM(D828:D834)</f>
        <v>436523</v>
      </c>
      <c r="R834" s="16"/>
      <c r="S834" s="60">
        <f t="shared" ref="S834" si="3691">+(Q834-Q827)/Q827</f>
        <v>-8.3626004756916533E-2</v>
      </c>
      <c r="T834" s="16"/>
      <c r="U834" s="41"/>
      <c r="V834" s="10">
        <f t="shared" si="558"/>
        <v>726</v>
      </c>
      <c r="W834" s="34">
        <v>390</v>
      </c>
      <c r="X834" s="33">
        <v>4256</v>
      </c>
      <c r="Y834" s="33"/>
      <c r="Z834" s="33">
        <f t="shared" ref="Z834" si="3692">SUM(W829:W834)</f>
        <v>888</v>
      </c>
      <c r="AA834" s="33">
        <f t="shared" ref="AA834" si="3693">+AA833+W834</f>
        <v>901722</v>
      </c>
      <c r="AB834" s="33"/>
      <c r="AC834" s="46">
        <f t="shared" ref="AC834" si="3694">+AA834/H834</f>
        <v>1.1856961589194352E-2</v>
      </c>
      <c r="AD834" s="33"/>
      <c r="AE834" s="33">
        <f t="shared" ref="AE834" si="3695">+AA834/BW834</f>
        <v>1092.9963636363636</v>
      </c>
      <c r="AF834" s="50"/>
      <c r="AG834" s="33"/>
      <c r="AH834" s="33"/>
      <c r="AI834" s="213"/>
      <c r="AJ834" s="50"/>
      <c r="AL834" s="23">
        <f t="shared" ref="AL834" si="3696">+AP834-AP833</f>
        <v>112902</v>
      </c>
      <c r="AM834" s="24"/>
      <c r="AN834" s="24"/>
      <c r="AO834" s="24">
        <v>178263</v>
      </c>
      <c r="AP834" s="24">
        <v>84153379</v>
      </c>
      <c r="AQ834" s="24">
        <v>20336656</v>
      </c>
      <c r="AR834" s="461">
        <f t="shared" ref="AR834" si="3697">+AL834/AP833</f>
        <v>1.3434240740922971E-3</v>
      </c>
      <c r="AS834" s="25"/>
      <c r="AT834" s="25"/>
      <c r="AU834" s="24"/>
      <c r="AV834" s="298">
        <f t="shared" ref="AV834" si="3698">+AP834/H834</f>
        <v>1.1065532197328163</v>
      </c>
      <c r="AW834" s="298"/>
      <c r="AX834" s="24">
        <f t="shared" ref="AX834" si="3699">+AP834/BW834</f>
        <v>102004.09575757576</v>
      </c>
      <c r="AY834" s="308"/>
      <c r="BA834" s="65">
        <f t="shared" ref="BA834" si="3700">+BC834-BC833</f>
        <v>1076030</v>
      </c>
      <c r="BB834" s="66"/>
      <c r="BC834" s="66">
        <v>1044739751</v>
      </c>
      <c r="BD834" s="66"/>
      <c r="BE834" s="66">
        <f t="shared" ref="BE834" si="3701">+D834</f>
        <v>93837</v>
      </c>
      <c r="BF834" s="66"/>
      <c r="BG834" s="144">
        <f t="shared" ref="BG834" si="3702">+BE834/BA834</f>
        <v>8.7206676393780838E-2</v>
      </c>
      <c r="BH834" s="66"/>
      <c r="BI834" s="170"/>
      <c r="BJ834" s="66"/>
      <c r="BK834" s="66"/>
      <c r="BL834" s="66"/>
      <c r="BM834" s="144"/>
      <c r="BN834" s="65">
        <f t="shared" ref="BN834" si="3703">+BC834/BW834</f>
        <v>1266351.2133333334</v>
      </c>
      <c r="BO834" s="66"/>
      <c r="BP834" s="66">
        <f t="shared" ref="BP834" si="3704">+BP833+BE834</f>
        <v>75143028</v>
      </c>
      <c r="BQ834" s="66"/>
      <c r="BR834" s="435">
        <f t="shared" ref="BR834" si="3705">+BP834/BC834</f>
        <v>7.1925116210113466E-2</v>
      </c>
      <c r="BS834" s="66"/>
      <c r="BT834" s="75"/>
      <c r="BU834" s="170"/>
      <c r="BV834" s="1"/>
      <c r="BW834" s="61">
        <f t="shared" si="1544"/>
        <v>825</v>
      </c>
      <c r="BY834" s="59"/>
    </row>
    <row r="835" spans="2:77" x14ac:dyDescent="0.3">
      <c r="B835" s="158">
        <f t="shared" ref="B835:B856" si="3706">1+B834</f>
        <v>44735</v>
      </c>
      <c r="C835" s="61"/>
      <c r="D835" s="17">
        <v>96702</v>
      </c>
      <c r="E835" s="16"/>
      <c r="F835" s="16"/>
      <c r="G835" s="16"/>
      <c r="H835" s="16">
        <f t="shared" ref="H835" si="3707">+H834+D835</f>
        <v>76146708</v>
      </c>
      <c r="I835" s="16"/>
      <c r="J835" s="436">
        <f t="shared" ref="J835" si="3708">+D835/H834</f>
        <v>1.2715580850841748E-3</v>
      </c>
      <c r="K835" s="16"/>
      <c r="L835" s="16"/>
      <c r="M835" s="16"/>
      <c r="N835" s="16">
        <f t="shared" ref="N835" si="3709">SUM(D829:D835)</f>
        <v>440753</v>
      </c>
      <c r="O835" s="16">
        <f t="shared" ref="O835" si="3710">+H835/BW835</f>
        <v>92187.297820823238</v>
      </c>
      <c r="P835" s="41"/>
      <c r="Q835" s="17">
        <f t="shared" ref="Q835" si="3711">SUM(D829:D835)</f>
        <v>440753</v>
      </c>
      <c r="R835" s="16"/>
      <c r="S835" s="60">
        <f t="shared" ref="S835" si="3712">+(Q835-Q828)/Q828</f>
        <v>-5.0516692050676104E-2</v>
      </c>
      <c r="T835" s="16"/>
      <c r="U835" s="41"/>
      <c r="V835" s="10">
        <f t="shared" si="558"/>
        <v>727</v>
      </c>
      <c r="W835" s="34">
        <v>266</v>
      </c>
      <c r="X835" s="33">
        <v>4256</v>
      </c>
      <c r="Y835" s="33"/>
      <c r="Z835" s="33">
        <f t="shared" ref="Z835" si="3713">SUM(W830:W835)</f>
        <v>954</v>
      </c>
      <c r="AA835" s="33">
        <f t="shared" ref="AA835" si="3714">+AA834+W835</f>
        <v>901988</v>
      </c>
      <c r="AB835" s="33"/>
      <c r="AC835" s="46">
        <f t="shared" ref="AC835" si="3715">+AA835/H835</f>
        <v>1.1845397177248949E-2</v>
      </c>
      <c r="AD835" s="33"/>
      <c r="AE835" s="33">
        <f t="shared" ref="AE835" si="3716">+AA835/BW835</f>
        <v>1091.9951573849878</v>
      </c>
      <c r="AF835" s="50"/>
      <c r="AG835" s="33"/>
      <c r="AH835" s="33"/>
      <c r="AI835" s="213"/>
      <c r="AJ835" s="50"/>
      <c r="AL835" s="23">
        <f t="shared" ref="AL835" si="3717">+AP835-AP834</f>
        <v>104534</v>
      </c>
      <c r="AM835" s="24"/>
      <c r="AN835" s="24"/>
      <c r="AO835" s="24">
        <v>178263</v>
      </c>
      <c r="AP835" s="24">
        <v>84257913</v>
      </c>
      <c r="AQ835" s="24">
        <v>20336656</v>
      </c>
      <c r="AR835" s="461">
        <f t="shared" ref="AR835" si="3718">+AL835/AP834</f>
        <v>1.2421842264943397E-3</v>
      </c>
      <c r="AS835" s="25"/>
      <c r="AT835" s="25"/>
      <c r="AU835" s="24"/>
      <c r="AV835" s="298">
        <f t="shared" ref="AV835" si="3719">+AP835/H835</f>
        <v>1.1065207572729212</v>
      </c>
      <c r="AW835" s="298"/>
      <c r="AX835" s="24">
        <f t="shared" ref="AX835" si="3720">+AP835/BW835</f>
        <v>102007.15859564165</v>
      </c>
      <c r="AY835" s="308"/>
      <c r="BA835" s="65">
        <f t="shared" ref="BA835" si="3721">+BC835-BC834</f>
        <v>482951</v>
      </c>
      <c r="BB835" s="66"/>
      <c r="BC835" s="66">
        <v>1045222702</v>
      </c>
      <c r="BD835" s="66"/>
      <c r="BE835" s="66">
        <f t="shared" ref="BE835" si="3722">+D835</f>
        <v>96702</v>
      </c>
      <c r="BF835" s="66"/>
      <c r="BG835" s="144">
        <f t="shared" ref="BG835" si="3723">+BE835/BA835</f>
        <v>0.20023149346414026</v>
      </c>
      <c r="BH835" s="66"/>
      <c r="BI835" s="170"/>
      <c r="BJ835" s="66"/>
      <c r="BK835" s="66"/>
      <c r="BL835" s="66"/>
      <c r="BM835" s="144"/>
      <c r="BN835" s="65">
        <f t="shared" ref="BN835" si="3724">+BC835/BW835</f>
        <v>1265402.7869249394</v>
      </c>
      <c r="BO835" s="66"/>
      <c r="BP835" s="66">
        <f t="shared" ref="BP835" si="3725">+BP834+BE835</f>
        <v>75239730</v>
      </c>
      <c r="BQ835" s="66"/>
      <c r="BR835" s="435">
        <f t="shared" ref="BR835" si="3726">+BP835/BC835</f>
        <v>7.1984400889907194E-2</v>
      </c>
      <c r="BS835" s="66"/>
      <c r="BT835" s="75"/>
      <c r="BU835" s="170"/>
      <c r="BV835" s="1"/>
      <c r="BW835" s="61">
        <f t="shared" si="1544"/>
        <v>826</v>
      </c>
      <c r="BY835" s="59"/>
    </row>
    <row r="836" spans="2:77" x14ac:dyDescent="0.3">
      <c r="B836" s="158">
        <f t="shared" si="3706"/>
        <v>44736</v>
      </c>
      <c r="C836" s="61"/>
      <c r="D836" s="17">
        <v>102916</v>
      </c>
      <c r="E836" s="16"/>
      <c r="F836" s="16"/>
      <c r="G836" s="16"/>
      <c r="H836" s="16">
        <f t="shared" ref="H836" si="3727">+H835+D836</f>
        <v>76249624</v>
      </c>
      <c r="I836" s="16"/>
      <c r="J836" s="436">
        <f t="shared" ref="J836" si="3728">+D836/H835</f>
        <v>1.3515489074064765E-3</v>
      </c>
      <c r="K836" s="16"/>
      <c r="L836" s="16"/>
      <c r="M836" s="16"/>
      <c r="N836" s="16">
        <f t="shared" ref="N836" si="3729">SUM(D830:D836)</f>
        <v>461936</v>
      </c>
      <c r="O836" s="16">
        <f t="shared" ref="O836" si="3730">+H836/BW836</f>
        <v>92200.270858524789</v>
      </c>
      <c r="P836" s="41"/>
      <c r="Q836" s="17">
        <f t="shared" ref="Q836" si="3731">SUM(D830:D836)</f>
        <v>461936</v>
      </c>
      <c r="R836" s="16"/>
      <c r="S836" s="60">
        <f t="shared" ref="S836" si="3732">+(Q836-Q829)/Q829</f>
        <v>2.1833095167519787E-2</v>
      </c>
      <c r="T836" s="16"/>
      <c r="U836" s="41"/>
      <c r="V836" s="10">
        <f t="shared" si="558"/>
        <v>728</v>
      </c>
      <c r="W836" s="34">
        <v>237</v>
      </c>
      <c r="X836" s="33">
        <v>4256</v>
      </c>
      <c r="Y836" s="33"/>
      <c r="Z836" s="33">
        <f t="shared" ref="Z836" si="3733">SUM(W831:W836)</f>
        <v>1146</v>
      </c>
      <c r="AA836" s="33">
        <f t="shared" ref="AA836" si="3734">+AA835+W836</f>
        <v>902225</v>
      </c>
      <c r="AB836" s="33"/>
      <c r="AC836" s="46">
        <f t="shared" ref="AC836" si="3735">+AA836/H836</f>
        <v>1.1832517364282346E-2</v>
      </c>
      <c r="AD836" s="33"/>
      <c r="AE836" s="33">
        <f t="shared" ref="AE836" si="3736">+AA836/BW836</f>
        <v>1090.9613059250303</v>
      </c>
      <c r="AF836" s="50"/>
      <c r="AG836" s="33"/>
      <c r="AH836" s="33"/>
      <c r="AI836" s="213"/>
      <c r="AJ836" s="50"/>
      <c r="AL836" s="23">
        <f t="shared" ref="AL836" si="3737">+AP836-AP835</f>
        <v>94514</v>
      </c>
      <c r="AM836" s="24"/>
      <c r="AN836" s="24"/>
      <c r="AO836" s="24">
        <v>178263</v>
      </c>
      <c r="AP836" s="24">
        <v>84352427</v>
      </c>
      <c r="AQ836" s="24">
        <v>20336656</v>
      </c>
      <c r="AR836" s="461">
        <f t="shared" ref="AR836" si="3738">+AL836/AP835</f>
        <v>1.1217225377989127E-3</v>
      </c>
      <c r="AS836" s="25"/>
      <c r="AT836" s="25"/>
      <c r="AU836" s="24"/>
      <c r="AV836" s="298">
        <f t="shared" ref="AV836" si="3739">+AP836/H836</f>
        <v>1.1062667928696934</v>
      </c>
      <c r="AW836" s="298"/>
      <c r="AX836" s="24">
        <f t="shared" ref="AX836" si="3740">+AP836/BW836</f>
        <v>101998.09794437727</v>
      </c>
      <c r="AY836" s="308"/>
      <c r="BA836" s="65">
        <f t="shared" ref="BA836" si="3741">+BC836-BC835</f>
        <v>2968483</v>
      </c>
      <c r="BB836" s="66"/>
      <c r="BC836" s="66">
        <v>1048191185</v>
      </c>
      <c r="BD836" s="66"/>
      <c r="BE836" s="66">
        <f t="shared" ref="BE836" si="3742">+D836</f>
        <v>102916</v>
      </c>
      <c r="BF836" s="66"/>
      <c r="BG836" s="144">
        <f t="shared" ref="BG836" si="3743">+BE836/BA836</f>
        <v>3.4669560176022567E-2</v>
      </c>
      <c r="BH836" s="66"/>
      <c r="BI836" s="170"/>
      <c r="BJ836" s="66"/>
      <c r="BK836" s="66"/>
      <c r="BL836" s="66"/>
      <c r="BM836" s="144"/>
      <c r="BN836" s="65">
        <f t="shared" ref="BN836" si="3744">+BC836/BW836</f>
        <v>1267462.1342200725</v>
      </c>
      <c r="BO836" s="66"/>
      <c r="BP836" s="66">
        <f t="shared" ref="BP836" si="3745">+BP835+BE836</f>
        <v>75342646</v>
      </c>
      <c r="BQ836" s="66"/>
      <c r="BR836" s="435">
        <f t="shared" ref="BR836" si="3746">+BP836/BC836</f>
        <v>7.1878725062928292E-2</v>
      </c>
      <c r="BS836" s="66"/>
      <c r="BT836" s="75"/>
      <c r="BU836" s="170"/>
      <c r="BV836" s="1"/>
      <c r="BW836" s="61">
        <f t="shared" si="1544"/>
        <v>827</v>
      </c>
      <c r="BY836" s="59"/>
    </row>
    <row r="837" spans="2:77" x14ac:dyDescent="0.3">
      <c r="B837" s="158">
        <f t="shared" si="3706"/>
        <v>44737</v>
      </c>
      <c r="C837" s="61"/>
      <c r="D837" s="17">
        <v>43667</v>
      </c>
      <c r="E837" s="16"/>
      <c r="F837" s="16"/>
      <c r="G837" s="16"/>
      <c r="H837" s="16">
        <f t="shared" ref="H837" si="3747">+H836+D837</f>
        <v>76293291</v>
      </c>
      <c r="I837" s="16"/>
      <c r="J837" s="436">
        <f t="shared" ref="J837" si="3748">+D837/H836</f>
        <v>5.7268479120631472E-4</v>
      </c>
      <c r="K837" s="16"/>
      <c r="L837" s="16"/>
      <c r="M837" s="16"/>
      <c r="N837" s="16">
        <f t="shared" ref="N837" si="3749">SUM(D831:D837)</f>
        <v>474751</v>
      </c>
      <c r="O837" s="16">
        <f t="shared" ref="O837" si="3750">+H837/BW837</f>
        <v>92141.655797101455</v>
      </c>
      <c r="P837" s="41"/>
      <c r="Q837" s="17">
        <f t="shared" ref="Q837" si="3751">SUM(D831:D837)</f>
        <v>474751</v>
      </c>
      <c r="R837" s="16"/>
      <c r="S837" s="60">
        <f t="shared" ref="S837" si="3752">+(Q837-Q830)/Q830</f>
        <v>7.1249506402662602E-2</v>
      </c>
      <c r="T837" s="16"/>
      <c r="U837" s="41"/>
      <c r="V837" s="10">
        <f t="shared" si="558"/>
        <v>729</v>
      </c>
      <c r="W837" s="34">
        <v>62</v>
      </c>
      <c r="X837" s="33">
        <v>4256</v>
      </c>
      <c r="Y837" s="33"/>
      <c r="Z837" s="33">
        <f t="shared" ref="Z837" si="3753">SUM(W832:W837)</f>
        <v>1178</v>
      </c>
      <c r="AA837" s="33">
        <f t="shared" ref="AA837" si="3754">+AA836+W837</f>
        <v>902287</v>
      </c>
      <c r="AB837" s="33"/>
      <c r="AC837" s="46">
        <f t="shared" ref="AC837" si="3755">+AA837/H837</f>
        <v>1.1826557593379999E-2</v>
      </c>
      <c r="AD837" s="33"/>
      <c r="AE837" s="33">
        <f t="shared" ref="AE837" si="3756">+AA837/BW837</f>
        <v>1089.7185990338164</v>
      </c>
      <c r="AF837" s="50"/>
      <c r="AG837" s="33"/>
      <c r="AH837" s="33"/>
      <c r="AI837" s="213"/>
      <c r="AJ837" s="50"/>
      <c r="AL837" s="23">
        <f t="shared" ref="AL837" si="3757">+AP837-AP836</f>
        <v>78362</v>
      </c>
      <c r="AM837" s="24"/>
      <c r="AN837" s="24"/>
      <c r="AO837" s="24">
        <v>178263</v>
      </c>
      <c r="AP837" s="24">
        <v>84430789</v>
      </c>
      <c r="AQ837" s="24">
        <v>20336656</v>
      </c>
      <c r="AR837" s="461">
        <f t="shared" ref="AR837" si="3758">+AL837/AP836</f>
        <v>9.2898334745009764E-4</v>
      </c>
      <c r="AS837" s="25"/>
      <c r="AT837" s="25"/>
      <c r="AU837" s="24"/>
      <c r="AV837" s="298">
        <f t="shared" ref="AV837" si="3759">+AP837/H837</f>
        <v>1.106660728529852</v>
      </c>
      <c r="AW837" s="298"/>
      <c r="AX837" s="24">
        <f t="shared" ref="AX837" si="3760">+AP837/BW837</f>
        <v>101969.55193236715</v>
      </c>
      <c r="AY837" s="308"/>
      <c r="BA837" s="65">
        <f t="shared" ref="BA837" si="3761">+BC837-BC836</f>
        <v>297027</v>
      </c>
      <c r="BB837" s="66"/>
      <c r="BC837" s="66">
        <v>1048488212</v>
      </c>
      <c r="BD837" s="66"/>
      <c r="BE837" s="66">
        <f t="shared" ref="BE837" si="3762">+D837</f>
        <v>43667</v>
      </c>
      <c r="BF837" s="66"/>
      <c r="BG837" s="144">
        <f t="shared" ref="BG837" si="3763">+BE837/BA837</f>
        <v>0.14701357115683086</v>
      </c>
      <c r="BH837" s="66"/>
      <c r="BI837" s="170"/>
      <c r="BJ837" s="66"/>
      <c r="BK837" s="66"/>
      <c r="BL837" s="66"/>
      <c r="BM837" s="144"/>
      <c r="BN837" s="65">
        <f t="shared" ref="BN837" si="3764">+BC837/BW837</f>
        <v>1266290.111111111</v>
      </c>
      <c r="BO837" s="66"/>
      <c r="BP837" s="66">
        <f t="shared" ref="BP837" si="3765">+BP836+BE837</f>
        <v>75386313</v>
      </c>
      <c r="BQ837" s="66"/>
      <c r="BR837" s="435">
        <f t="shared" ref="BR837" si="3766">+BP837/BC837</f>
        <v>7.190001006897348E-2</v>
      </c>
      <c r="BS837" s="66"/>
      <c r="BT837" s="75"/>
      <c r="BU837" s="170"/>
      <c r="BV837" s="1"/>
      <c r="BW837" s="61">
        <f t="shared" si="1544"/>
        <v>828</v>
      </c>
      <c r="BY837" s="59"/>
    </row>
    <row r="838" spans="2:77" x14ac:dyDescent="0.3">
      <c r="B838" s="347">
        <f t="shared" si="3706"/>
        <v>44738</v>
      </c>
      <c r="C838" s="61"/>
      <c r="D838" s="17">
        <v>20285</v>
      </c>
      <c r="E838" s="16"/>
      <c r="F838" s="16"/>
      <c r="G838" s="16"/>
      <c r="H838" s="16">
        <f t="shared" ref="H838" si="3767">+H837+D838</f>
        <v>76313576</v>
      </c>
      <c r="I838" s="16"/>
      <c r="J838" s="436">
        <f t="shared" ref="J838" si="3768">+D838/H837</f>
        <v>2.6588183225704603E-4</v>
      </c>
      <c r="K838" s="16"/>
      <c r="L838" s="16"/>
      <c r="M838" s="16"/>
      <c r="N838" s="16">
        <f t="shared" ref="N838" si="3769">SUM(D832:D838)</f>
        <v>464289</v>
      </c>
      <c r="O838" s="16">
        <f t="shared" ref="O838" si="3770">+H838/BW838</f>
        <v>92054.977080820259</v>
      </c>
      <c r="P838" s="41"/>
      <c r="Q838" s="17">
        <f t="shared" ref="Q838" si="3771">SUM(D832:D838)</f>
        <v>464289</v>
      </c>
      <c r="R838" s="16"/>
      <c r="S838" s="60">
        <f t="shared" ref="S838" si="3772">+(Q838-Q831)/Q831</f>
        <v>1.4533321096587259E-2</v>
      </c>
      <c r="T838" s="16"/>
      <c r="U838" s="41"/>
      <c r="V838" s="10">
        <f t="shared" si="558"/>
        <v>730</v>
      </c>
      <c r="W838" s="34">
        <v>17</v>
      </c>
      <c r="X838" s="33">
        <v>4256</v>
      </c>
      <c r="Y838" s="33"/>
      <c r="Z838" s="33">
        <f t="shared" ref="Z838" si="3773">SUM(W833:W838)</f>
        <v>1164</v>
      </c>
      <c r="AA838" s="33">
        <f t="shared" ref="AA838" si="3774">+AA837+W838</f>
        <v>902304</v>
      </c>
      <c r="AB838" s="33"/>
      <c r="AC838" s="46">
        <f t="shared" ref="AC838" si="3775">+AA838/H838</f>
        <v>1.1823636727493939E-2</v>
      </c>
      <c r="AD838" s="33"/>
      <c r="AE838" s="33">
        <f t="shared" ref="AE838" si="3776">+AA838/BW838</f>
        <v>1088.4246079613993</v>
      </c>
      <c r="AF838" s="50"/>
      <c r="AG838" s="33"/>
      <c r="AH838" s="33"/>
      <c r="AI838" s="213"/>
      <c r="AJ838" s="50"/>
      <c r="AL838" s="23">
        <f t="shared" ref="AL838" si="3777">+AP838-AP837</f>
        <v>82826</v>
      </c>
      <c r="AM838" s="24"/>
      <c r="AN838" s="24"/>
      <c r="AO838" s="24">
        <v>178263</v>
      </c>
      <c r="AP838" s="24">
        <v>84513615</v>
      </c>
      <c r="AQ838" s="24">
        <v>20336656</v>
      </c>
      <c r="AR838" s="461">
        <f t="shared" ref="AR838" si="3778">+AL838/AP837</f>
        <v>9.8099284610499138E-4</v>
      </c>
      <c r="AS838" s="25"/>
      <c r="AT838" s="25"/>
      <c r="AU838" s="24"/>
      <c r="AV838" s="298">
        <f t="shared" ref="AV838" si="3779">+AP838/H838</f>
        <v>1.1074519034463803</v>
      </c>
      <c r="AW838" s="298"/>
      <c r="AX838" s="24">
        <f t="shared" ref="AX838" si="3780">+AP838/BW838</f>
        <v>101946.45958986731</v>
      </c>
      <c r="AY838" s="308"/>
      <c r="BA838" s="65">
        <f t="shared" ref="BA838" si="3781">+BC838-BC837</f>
        <v>81345</v>
      </c>
      <c r="BB838" s="66"/>
      <c r="BC838" s="66">
        <v>1048569557</v>
      </c>
      <c r="BD838" s="66"/>
      <c r="BE838" s="66">
        <f t="shared" ref="BE838" si="3782">+D838</f>
        <v>20285</v>
      </c>
      <c r="BF838" s="66"/>
      <c r="BG838" s="144">
        <f t="shared" ref="BG838" si="3783">+BE838/BA838</f>
        <v>0.24936996742270576</v>
      </c>
      <c r="BH838" s="66"/>
      <c r="BI838" s="170"/>
      <c r="BJ838" s="66"/>
      <c r="BK838" s="66"/>
      <c r="BL838" s="66"/>
      <c r="BM838" s="144"/>
      <c r="BN838" s="65">
        <f t="shared" ref="BN838" si="3784">+BC838/BW838</f>
        <v>1264860.744270205</v>
      </c>
      <c r="BO838" s="66"/>
      <c r="BP838" s="66">
        <f t="shared" ref="BP838" si="3785">+BP837+BE838</f>
        <v>75406598</v>
      </c>
      <c r="BQ838" s="66"/>
      <c r="BR838" s="435">
        <f t="shared" ref="BR838" si="3786">+BP838/BC838</f>
        <v>7.1913777676076471E-2</v>
      </c>
      <c r="BS838" s="66"/>
      <c r="BT838" s="75"/>
      <c r="BU838" s="170"/>
      <c r="BV838" s="1"/>
      <c r="BW838" s="61">
        <f t="shared" si="1544"/>
        <v>829</v>
      </c>
      <c r="BY838" s="59"/>
    </row>
    <row r="839" spans="2:77" x14ac:dyDescent="0.3">
      <c r="B839" s="158">
        <f t="shared" si="3706"/>
        <v>44739</v>
      </c>
      <c r="C839" s="61"/>
      <c r="D839" s="17">
        <v>52403</v>
      </c>
      <c r="E839" s="16"/>
      <c r="F839" s="16"/>
      <c r="G839" s="16"/>
      <c r="H839" s="16">
        <f t="shared" ref="H839" si="3787">+H838+D839</f>
        <v>76365979</v>
      </c>
      <c r="I839" s="16"/>
      <c r="J839" s="436">
        <f t="shared" ref="J839" si="3788">+D839/H838</f>
        <v>6.8667991655901438E-4</v>
      </c>
      <c r="K839" s="16"/>
      <c r="L839" s="16"/>
      <c r="M839" s="16"/>
      <c r="N839" s="16">
        <f t="shared" ref="N839" si="3789">SUM(D833:D839)</f>
        <v>493930</v>
      </c>
      <c r="O839" s="16">
        <f t="shared" ref="O839" si="3790">+H839/BW839</f>
        <v>92007.203614457831</v>
      </c>
      <c r="P839" s="41"/>
      <c r="Q839" s="17">
        <f t="shared" ref="Q839" si="3791">SUM(D833:D839)</f>
        <v>493930</v>
      </c>
      <c r="R839" s="16"/>
      <c r="S839" s="60">
        <f t="shared" ref="S839" si="3792">+(Q839-Q832)/Q832</f>
        <v>0.14606778072198581</v>
      </c>
      <c r="T839" s="16"/>
      <c r="U839" s="41"/>
      <c r="V839" s="10">
        <f t="shared" si="558"/>
        <v>731</v>
      </c>
      <c r="W839" s="34">
        <v>80</v>
      </c>
      <c r="X839" s="33">
        <v>4256</v>
      </c>
      <c r="Y839" s="33"/>
      <c r="Z839" s="33">
        <f t="shared" ref="Z839" si="3793">SUM(W834:W839)</f>
        <v>1052</v>
      </c>
      <c r="AA839" s="33">
        <f t="shared" ref="AA839" si="3794">+AA838+W839</f>
        <v>902384</v>
      </c>
      <c r="AB839" s="33"/>
      <c r="AC839" s="46">
        <f t="shared" ref="AC839" si="3795">+AA839/H839</f>
        <v>1.1816570831888373E-2</v>
      </c>
      <c r="AD839" s="33"/>
      <c r="AE839" s="33">
        <f t="shared" ref="AE839" si="3796">+AA839/BW839</f>
        <v>1087.2096385542168</v>
      </c>
      <c r="AF839" s="50"/>
      <c r="AG839" s="33"/>
      <c r="AH839" s="33"/>
      <c r="AI839" s="213"/>
      <c r="AJ839" s="50"/>
      <c r="AL839" s="23">
        <f t="shared" ref="AL839" si="3797">+AP839-AP838</f>
        <v>90492</v>
      </c>
      <c r="AM839" s="24"/>
      <c r="AN839" s="24"/>
      <c r="AO839" s="24">
        <v>178263</v>
      </c>
      <c r="AP839" s="24">
        <v>84604107</v>
      </c>
      <c r="AQ839" s="24">
        <v>20336656</v>
      </c>
      <c r="AR839" s="461">
        <f t="shared" ref="AR839" si="3798">+AL839/AP838</f>
        <v>1.0707387206191571E-3</v>
      </c>
      <c r="AS839" s="25"/>
      <c r="AT839" s="25"/>
      <c r="AU839" s="24"/>
      <c r="AV839" s="298">
        <f t="shared" ref="AV839" si="3799">+AP839/H839</f>
        <v>1.1078769382371174</v>
      </c>
      <c r="AW839" s="298"/>
      <c r="AX839" s="24">
        <f t="shared" ref="AX839" si="3800">+AP839/BW839</f>
        <v>101932.65903614459</v>
      </c>
      <c r="AY839" s="308"/>
      <c r="BA839" s="65">
        <f t="shared" ref="BA839" si="3801">+BC839-BC838</f>
        <v>802317</v>
      </c>
      <c r="BB839" s="66"/>
      <c r="BC839" s="66">
        <v>1049371874</v>
      </c>
      <c r="BD839" s="66"/>
      <c r="BE839" s="66">
        <f t="shared" ref="BE839" si="3802">+D839</f>
        <v>52403</v>
      </c>
      <c r="BF839" s="66"/>
      <c r="BG839" s="144">
        <f t="shared" ref="BG839" si="3803">+BE839/BA839</f>
        <v>6.5314582640028818E-2</v>
      </c>
      <c r="BH839" s="66"/>
      <c r="BI839" s="170"/>
      <c r="BJ839" s="66"/>
      <c r="BK839" s="66"/>
      <c r="BL839" s="66"/>
      <c r="BM839" s="144"/>
      <c r="BN839" s="65">
        <f t="shared" ref="BN839" si="3804">+BC839/BW839</f>
        <v>1264303.4626506025</v>
      </c>
      <c r="BO839" s="66"/>
      <c r="BP839" s="66">
        <f t="shared" ref="BP839" si="3805">+BP838+BE839</f>
        <v>75459001</v>
      </c>
      <c r="BQ839" s="66"/>
      <c r="BR839" s="435">
        <f t="shared" ref="BR839" si="3806">+BP839/BC839</f>
        <v>7.1908732137411946E-2</v>
      </c>
      <c r="BS839" s="66"/>
      <c r="BT839" s="75"/>
      <c r="BU839" s="170"/>
      <c r="BV839" s="1"/>
      <c r="BW839" s="61">
        <f t="shared" si="1544"/>
        <v>830</v>
      </c>
      <c r="BY839" s="59"/>
    </row>
    <row r="840" spans="2:77" x14ac:dyDescent="0.3">
      <c r="B840" s="158">
        <f t="shared" si="3706"/>
        <v>44740</v>
      </c>
      <c r="C840" s="61"/>
      <c r="D840" s="17">
        <v>78448</v>
      </c>
      <c r="E840" s="16"/>
      <c r="F840" s="16"/>
      <c r="G840" s="16"/>
      <c r="H840" s="16">
        <f t="shared" ref="H840" si="3807">+H839+D840</f>
        <v>76444427</v>
      </c>
      <c r="I840" s="16"/>
      <c r="J840" s="436">
        <f t="shared" ref="J840" si="3808">+D840/H839</f>
        <v>1.0272637243346281E-3</v>
      </c>
      <c r="K840" s="16"/>
      <c r="L840" s="16"/>
      <c r="M840" s="16"/>
      <c r="N840" s="16">
        <f t="shared" ref="N840" si="3809">SUM(D834:D840)</f>
        <v>488258</v>
      </c>
      <c r="O840" s="16">
        <f t="shared" ref="O840" si="3810">+H840/BW840</f>
        <v>91990.886883273168</v>
      </c>
      <c r="P840" s="41"/>
      <c r="Q840" s="17">
        <f t="shared" ref="Q840" si="3811">SUM(D834:D840)</f>
        <v>488258</v>
      </c>
      <c r="R840" s="16"/>
      <c r="S840" s="60">
        <f t="shared" ref="S840" si="3812">+(Q840-Q833)/Q833</f>
        <v>0.10519120116979715</v>
      </c>
      <c r="T840" s="16"/>
      <c r="U840" s="41"/>
      <c r="V840" s="10">
        <f t="shared" si="558"/>
        <v>732</v>
      </c>
      <c r="W840" s="34">
        <v>268</v>
      </c>
      <c r="X840" s="33">
        <v>4256</v>
      </c>
      <c r="Y840" s="33"/>
      <c r="Z840" s="33">
        <f t="shared" ref="Z840" si="3813">SUM(W835:W840)</f>
        <v>930</v>
      </c>
      <c r="AA840" s="33">
        <f t="shared" ref="AA840" si="3814">+AA839+W840</f>
        <v>902652</v>
      </c>
      <c r="AB840" s="33"/>
      <c r="AC840" s="46">
        <f t="shared" ref="AC840" si="3815">+AA840/H840</f>
        <v>1.1807950368965418E-2</v>
      </c>
      <c r="AD840" s="33"/>
      <c r="AE840" s="33">
        <f t="shared" ref="AE840" si="3816">+AA840/BW840</f>
        <v>1086.2238267148014</v>
      </c>
      <c r="AF840" s="50"/>
      <c r="AG840" s="33"/>
      <c r="AH840" s="33"/>
      <c r="AI840" s="213"/>
      <c r="AJ840" s="50"/>
      <c r="AL840" s="23">
        <f t="shared" ref="AL840" si="3817">+AP840-AP839</f>
        <v>104492</v>
      </c>
      <c r="AM840" s="24"/>
      <c r="AN840" s="24"/>
      <c r="AO840" s="24">
        <v>178263</v>
      </c>
      <c r="AP840" s="24">
        <v>84708599</v>
      </c>
      <c r="AQ840" s="24">
        <v>20336656</v>
      </c>
      <c r="AR840" s="461">
        <f t="shared" ref="AR840" si="3818">+AL840/AP839</f>
        <v>1.2350700658066162E-3</v>
      </c>
      <c r="AS840" s="25"/>
      <c r="AT840" s="25"/>
      <c r="AU840" s="24"/>
      <c r="AV840" s="298">
        <f t="shared" ref="AV840" si="3819">+AP840/H840</f>
        <v>1.1081069258325398</v>
      </c>
      <c r="AW840" s="298"/>
      <c r="AX840" s="24">
        <f t="shared" ref="AX840" si="3820">+AP840/BW840</f>
        <v>101935.73886883273</v>
      </c>
      <c r="AY840" s="308"/>
      <c r="BA840" s="65">
        <f t="shared" ref="BA840" si="3821">+BC840-BC839</f>
        <v>577655</v>
      </c>
      <c r="BB840" s="66"/>
      <c r="BC840" s="66">
        <v>1049949529</v>
      </c>
      <c r="BD840" s="66"/>
      <c r="BE840" s="66">
        <f t="shared" ref="BE840" si="3822">+D840</f>
        <v>78448</v>
      </c>
      <c r="BF840" s="66"/>
      <c r="BG840" s="144">
        <f t="shared" ref="BG840" si="3823">+BE840/BA840</f>
        <v>0.13580424301702573</v>
      </c>
      <c r="BH840" s="66"/>
      <c r="BI840" s="170"/>
      <c r="BJ840" s="66"/>
      <c r="BK840" s="66"/>
      <c r="BL840" s="66"/>
      <c r="BM840" s="144"/>
      <c r="BN840" s="65">
        <f t="shared" ref="BN840" si="3824">+BC840/BW840</f>
        <v>1263477.1708784597</v>
      </c>
      <c r="BO840" s="66"/>
      <c r="BP840" s="66">
        <f t="shared" ref="BP840" si="3825">+BP839+BE840</f>
        <v>75537449</v>
      </c>
      <c r="BQ840" s="66"/>
      <c r="BR840" s="435">
        <f t="shared" ref="BR840" si="3826">+BP840/BC840</f>
        <v>7.1943885790342596E-2</v>
      </c>
      <c r="BS840" s="66"/>
      <c r="BT840" s="75"/>
      <c r="BU840" s="170"/>
      <c r="BV840" s="1"/>
      <c r="BW840" s="61">
        <f t="shared" si="1544"/>
        <v>831</v>
      </c>
      <c r="BY840" s="59"/>
    </row>
    <row r="841" spans="2:77" x14ac:dyDescent="0.3">
      <c r="B841" s="158">
        <f t="shared" si="3706"/>
        <v>44741</v>
      </c>
      <c r="C841" s="61"/>
      <c r="D841" s="17">
        <v>100257</v>
      </c>
      <c r="E841" s="16"/>
      <c r="F841" s="16"/>
      <c r="G841" s="16"/>
      <c r="H841" s="16">
        <f t="shared" ref="H841" si="3827">+H840+D841</f>
        <v>76544684</v>
      </c>
      <c r="I841" s="16"/>
      <c r="J841" s="436">
        <f t="shared" ref="J841" si="3828">+D841/H840</f>
        <v>1.3115017527700222E-3</v>
      </c>
      <c r="K841" s="16"/>
      <c r="L841" s="16"/>
      <c r="M841" s="16"/>
      <c r="N841" s="16">
        <f t="shared" ref="N841" si="3829">SUM(D835:D841)</f>
        <v>494678</v>
      </c>
      <c r="O841" s="16">
        <f t="shared" ref="O841" si="3830">+H841/BW841</f>
        <v>92000.82211538461</v>
      </c>
      <c r="P841" s="41"/>
      <c r="Q841" s="17">
        <f t="shared" ref="Q841" si="3831">SUM(D835:D841)</f>
        <v>494678</v>
      </c>
      <c r="R841" s="16"/>
      <c r="S841" s="60">
        <f t="shared" ref="S841" si="3832">+(Q841-Q834)/Q834</f>
        <v>0.13322322076958143</v>
      </c>
      <c r="T841" s="16"/>
      <c r="U841" s="41"/>
      <c r="V841" s="10">
        <f t="shared" si="558"/>
        <v>733</v>
      </c>
      <c r="W841" s="34">
        <v>326</v>
      </c>
      <c r="X841" s="33">
        <v>4256</v>
      </c>
      <c r="Y841" s="33"/>
      <c r="Z841" s="33">
        <f t="shared" ref="Z841" si="3833">SUM(W836:W841)</f>
        <v>990</v>
      </c>
      <c r="AA841" s="33">
        <f t="shared" ref="AA841" si="3834">+AA840+W841</f>
        <v>902978</v>
      </c>
      <c r="AB841" s="33"/>
      <c r="AC841" s="46">
        <f t="shared" ref="AC841" si="3835">+AA841/H841</f>
        <v>1.1796743455103949E-2</v>
      </c>
      <c r="AD841" s="33"/>
      <c r="AE841" s="33">
        <f t="shared" ref="AE841" si="3836">+AA841/BW841</f>
        <v>1085.3100961538462</v>
      </c>
      <c r="AF841" s="50"/>
      <c r="AG841" s="33"/>
      <c r="AH841" s="33"/>
      <c r="AI841" s="213"/>
      <c r="AJ841" s="50"/>
      <c r="AL841" s="23">
        <f t="shared" ref="AL841" si="3837">+AP841-AP840</f>
        <v>101955</v>
      </c>
      <c r="AM841" s="24"/>
      <c r="AN841" s="24"/>
      <c r="AO841" s="24">
        <v>178263</v>
      </c>
      <c r="AP841" s="24">
        <v>84810554</v>
      </c>
      <c r="AQ841" s="24">
        <v>20336656</v>
      </c>
      <c r="AR841" s="461">
        <f t="shared" ref="AR841" si="3838">+AL841/AP840</f>
        <v>1.2035968154779659E-3</v>
      </c>
      <c r="AS841" s="25"/>
      <c r="AT841" s="25"/>
      <c r="AU841" s="24"/>
      <c r="AV841" s="298">
        <f t="shared" ref="AV841" si="3839">+AP841/H841</f>
        <v>1.1079875122353369</v>
      </c>
      <c r="AW841" s="298"/>
      <c r="AX841" s="24">
        <f t="shared" ref="AX841" si="3840">+AP841/BW841</f>
        <v>101935.76201923077</v>
      </c>
      <c r="AY841" s="308"/>
      <c r="BA841" s="65">
        <f t="shared" ref="BA841" si="3841">+BC841-BC840</f>
        <v>958071</v>
      </c>
      <c r="BB841" s="66"/>
      <c r="BC841" s="66">
        <v>1050907600</v>
      </c>
      <c r="BD841" s="66"/>
      <c r="BE841" s="66">
        <f t="shared" ref="BE841" si="3842">+D841</f>
        <v>100257</v>
      </c>
      <c r="BF841" s="66"/>
      <c r="BG841" s="144">
        <f t="shared" ref="BG841" si="3843">+BE841/BA841</f>
        <v>0.10464464533421844</v>
      </c>
      <c r="BH841" s="66"/>
      <c r="BI841" s="170"/>
      <c r="BJ841" s="66"/>
      <c r="BK841" s="66"/>
      <c r="BL841" s="66"/>
      <c r="BM841" s="144"/>
      <c r="BN841" s="65">
        <f t="shared" ref="BN841" si="3844">+BC841/BW841</f>
        <v>1263110.0961538462</v>
      </c>
      <c r="BO841" s="66"/>
      <c r="BP841" s="66">
        <f t="shared" ref="BP841" si="3845">+BP840+BE841</f>
        <v>75637706</v>
      </c>
      <c r="BQ841" s="66"/>
      <c r="BR841" s="435">
        <f t="shared" ref="BR841" si="3846">+BP841/BC841</f>
        <v>7.1973697782754642E-2</v>
      </c>
      <c r="BS841" s="66"/>
      <c r="BT841" s="75"/>
      <c r="BU841" s="170"/>
      <c r="BV841" s="1"/>
      <c r="BW841" s="61">
        <f t="shared" si="1544"/>
        <v>832</v>
      </c>
      <c r="BY841" s="59"/>
    </row>
    <row r="842" spans="2:77" x14ac:dyDescent="0.3">
      <c r="B842" s="158">
        <f t="shared" si="3706"/>
        <v>44742</v>
      </c>
      <c r="C842" s="61"/>
      <c r="D842" s="17">
        <v>85976</v>
      </c>
      <c r="E842" s="16"/>
      <c r="F842" s="16"/>
      <c r="G842" s="16"/>
      <c r="H842" s="16">
        <f t="shared" ref="H842" si="3847">+H841+D842</f>
        <v>76630660</v>
      </c>
      <c r="I842" s="16"/>
      <c r="J842" s="436">
        <f t="shared" ref="J842" si="3848">+D842/H841</f>
        <v>1.1232132070726165E-3</v>
      </c>
      <c r="K842" s="16"/>
      <c r="L842" s="16"/>
      <c r="M842" s="16"/>
      <c r="N842" s="16">
        <f t="shared" ref="N842" si="3849">SUM(D836:D842)</f>
        <v>483952</v>
      </c>
      <c r="O842" s="16">
        <f t="shared" ref="O842" si="3850">+H842/BW842</f>
        <v>91993.589435774309</v>
      </c>
      <c r="P842" s="41"/>
      <c r="Q842" s="17">
        <f t="shared" ref="Q842" si="3851">SUM(D836:D842)</f>
        <v>483952</v>
      </c>
      <c r="R842" s="16"/>
      <c r="S842" s="60">
        <f t="shared" ref="S842" si="3852">+(Q842-Q835)/Q835</f>
        <v>9.8011811604231849E-2</v>
      </c>
      <c r="T842" s="16"/>
      <c r="U842" s="41"/>
      <c r="V842" s="10">
        <f t="shared" si="558"/>
        <v>734</v>
      </c>
      <c r="W842" s="34">
        <v>228</v>
      </c>
      <c r="X842" s="33">
        <v>4256</v>
      </c>
      <c r="Y842" s="33"/>
      <c r="Z842" s="33">
        <f t="shared" ref="Z842" si="3853">SUM(W837:W842)</f>
        <v>981</v>
      </c>
      <c r="AA842" s="33">
        <f t="shared" ref="AA842" si="3854">+AA841+W842</f>
        <v>903206</v>
      </c>
      <c r="AB842" s="33"/>
      <c r="AC842" s="46">
        <f t="shared" ref="AC842" si="3855">+AA842/H842</f>
        <v>1.178648337362617E-2</v>
      </c>
      <c r="AD842" s="33"/>
      <c r="AE842" s="33">
        <f t="shared" ref="AE842" si="3856">+AA842/BW842</f>
        <v>1084.2809123649461</v>
      </c>
      <c r="AF842" s="50"/>
      <c r="AG842" s="33"/>
      <c r="AH842" s="33"/>
      <c r="AI842" s="213"/>
      <c r="AJ842" s="50"/>
      <c r="AL842" s="23">
        <f t="shared" ref="AL842" si="3857">+AP842-AP841</f>
        <v>105837</v>
      </c>
      <c r="AM842" s="24"/>
      <c r="AN842" s="24"/>
      <c r="AO842" s="24">
        <v>178263</v>
      </c>
      <c r="AP842" s="24">
        <v>84916391</v>
      </c>
      <c r="AQ842" s="24">
        <v>20336656</v>
      </c>
      <c r="AR842" s="461">
        <f t="shared" ref="AR842" si="3858">+AL842/AP841</f>
        <v>1.2479225168131787E-3</v>
      </c>
      <c r="AS842" s="25"/>
      <c r="AT842" s="25"/>
      <c r="AU842" s="24"/>
      <c r="AV842" s="298">
        <f t="shared" ref="AV842" si="3859">+AP842/H842</f>
        <v>1.1081255335658078</v>
      </c>
      <c r="AW842" s="298"/>
      <c r="AX842" s="24">
        <f t="shared" ref="AX842" si="3860">+AP842/BW842</f>
        <v>101940.44537815126</v>
      </c>
      <c r="AY842" s="308"/>
      <c r="BA842" s="65">
        <f t="shared" ref="BA842" si="3861">+BC842-BC841</f>
        <v>448878</v>
      </c>
      <c r="BB842" s="66"/>
      <c r="BC842" s="66">
        <v>1051356478</v>
      </c>
      <c r="BD842" s="66"/>
      <c r="BE842" s="66">
        <f t="shared" ref="BE842" si="3862">+D842</f>
        <v>85976</v>
      </c>
      <c r="BF842" s="66"/>
      <c r="BG842" s="144">
        <f t="shared" ref="BG842" si="3863">+BE842/BA842</f>
        <v>0.19153533922357521</v>
      </c>
      <c r="BH842" s="66"/>
      <c r="BI842" s="170"/>
      <c r="BJ842" s="66"/>
      <c r="BK842" s="66"/>
      <c r="BL842" s="66"/>
      <c r="BM842" s="144"/>
      <c r="BN842" s="65">
        <f t="shared" ref="BN842" si="3864">+BC842/BW842</f>
        <v>1262132.6266506603</v>
      </c>
      <c r="BO842" s="66"/>
      <c r="BP842" s="66">
        <f t="shared" ref="BP842" si="3865">+BP841+BE842</f>
        <v>75723682</v>
      </c>
      <c r="BQ842" s="66"/>
      <c r="BR842" s="435">
        <f t="shared" ref="BR842" si="3866">+BP842/BC842</f>
        <v>7.2024744779286942E-2</v>
      </c>
      <c r="BS842" s="66"/>
      <c r="BT842" s="75"/>
      <c r="BU842" s="170"/>
      <c r="BV842" s="1"/>
      <c r="BW842" s="61">
        <f t="shared" si="1544"/>
        <v>833</v>
      </c>
      <c r="BY842" s="59"/>
    </row>
    <row r="843" spans="2:77" x14ac:dyDescent="0.3">
      <c r="B843" s="158">
        <f t="shared" si="3706"/>
        <v>44743</v>
      </c>
      <c r="C843" s="61"/>
      <c r="D843" s="17">
        <v>102788</v>
      </c>
      <c r="E843" s="16"/>
      <c r="F843" s="16"/>
      <c r="G843" s="16"/>
      <c r="H843" s="16">
        <f t="shared" ref="H843" si="3867">+H842+D843</f>
        <v>76733448</v>
      </c>
      <c r="I843" s="16"/>
      <c r="J843" s="436">
        <f t="shared" ref="J843" si="3868">+D843/H842</f>
        <v>1.341343008137996E-3</v>
      </c>
      <c r="K843" s="16"/>
      <c r="L843" s="16"/>
      <c r="M843" s="16"/>
      <c r="N843" s="16">
        <f t="shared" ref="N843" si="3869">SUM(D837:D843)</f>
        <v>483824</v>
      </c>
      <c r="O843" s="16">
        <f t="shared" ref="O843" si="3870">+H843/BW843</f>
        <v>92006.532374100716</v>
      </c>
      <c r="P843" s="41"/>
      <c r="Q843" s="17">
        <f t="shared" ref="Q843" si="3871">SUM(D837:D843)</f>
        <v>483824</v>
      </c>
      <c r="R843" s="16"/>
      <c r="S843" s="60">
        <f t="shared" ref="S843" si="3872">+(Q843-Q836)/Q836</f>
        <v>4.7383187281354995E-2</v>
      </c>
      <c r="T843" s="16"/>
      <c r="U843" s="41"/>
      <c r="V843" s="10">
        <f t="shared" si="558"/>
        <v>735</v>
      </c>
      <c r="W843" s="34">
        <v>283</v>
      </c>
      <c r="X843" s="33">
        <v>4256</v>
      </c>
      <c r="Y843" s="33"/>
      <c r="Z843" s="33">
        <f t="shared" ref="Z843" si="3873">SUM(W838:W843)</f>
        <v>1202</v>
      </c>
      <c r="AA843" s="33">
        <f t="shared" ref="AA843" si="3874">+AA842+W843</f>
        <v>903489</v>
      </c>
      <c r="AB843" s="33"/>
      <c r="AC843" s="46">
        <f t="shared" ref="AC843" si="3875">+AA843/H843</f>
        <v>1.177438292620449E-2</v>
      </c>
      <c r="AD843" s="33"/>
      <c r="AE843" s="33">
        <f t="shared" ref="AE843" si="3876">+AA843/BW843</f>
        <v>1083.3201438848921</v>
      </c>
      <c r="AF843" s="50"/>
      <c r="AG843" s="33"/>
      <c r="AH843" s="33"/>
      <c r="AI843" s="213"/>
      <c r="AJ843" s="50"/>
      <c r="AL843" s="23">
        <f t="shared" ref="AL843" si="3877">+AP843-AP842</f>
        <v>80752</v>
      </c>
      <c r="AM843" s="24"/>
      <c r="AN843" s="24"/>
      <c r="AO843" s="24">
        <v>178263</v>
      </c>
      <c r="AP843" s="24">
        <v>84997143</v>
      </c>
      <c r="AQ843" s="24">
        <v>20336656</v>
      </c>
      <c r="AR843" s="461">
        <f t="shared" ref="AR843" si="3878">+AL843/AP842</f>
        <v>9.5095892617480646E-4</v>
      </c>
      <c r="AS843" s="25"/>
      <c r="AT843" s="25"/>
      <c r="AU843" s="24"/>
      <c r="AV843" s="298">
        <f t="shared" ref="AV843" si="3879">+AP843/H843</f>
        <v>1.1076935184771053</v>
      </c>
      <c r="AW843" s="298"/>
      <c r="AX843" s="24">
        <f t="shared" ref="AX843" si="3880">+AP843/BW843</f>
        <v>101915.03956834532</v>
      </c>
      <c r="AY843" s="308"/>
      <c r="BA843" s="65">
        <f t="shared" ref="BA843" si="3881">+BC843-BC842</f>
        <v>1443338</v>
      </c>
      <c r="BB843" s="66"/>
      <c r="BC843" s="66">
        <v>1052799816</v>
      </c>
      <c r="BD843" s="66"/>
      <c r="BE843" s="66">
        <f t="shared" ref="BE843" si="3882">+D843</f>
        <v>102788</v>
      </c>
      <c r="BF843" s="66"/>
      <c r="BG843" s="144">
        <f t="shared" ref="BG843" si="3883">+BE843/BA843</f>
        <v>7.1215474130106732E-2</v>
      </c>
      <c r="BH843" s="66"/>
      <c r="BI843" s="170"/>
      <c r="BJ843" s="66"/>
      <c r="BK843" s="66"/>
      <c r="BL843" s="66"/>
      <c r="BM843" s="144"/>
      <c r="BN843" s="65">
        <f t="shared" ref="BN843" si="3884">+BC843/BW843</f>
        <v>1262349.8992805756</v>
      </c>
      <c r="BO843" s="66"/>
      <c r="BP843" s="66">
        <f t="shared" ref="BP843" si="3885">+BP842+BE843</f>
        <v>75826470</v>
      </c>
      <c r="BQ843" s="66"/>
      <c r="BR843" s="435">
        <f t="shared" ref="BR843" si="3886">+BP843/BC843</f>
        <v>7.202363530808216E-2</v>
      </c>
      <c r="BS843" s="66"/>
      <c r="BT843" s="75"/>
      <c r="BU843" s="170"/>
      <c r="BV843" s="1"/>
      <c r="BW843" s="61">
        <f t="shared" si="1544"/>
        <v>834</v>
      </c>
      <c r="BY843" s="59"/>
    </row>
    <row r="844" spans="2:77" x14ac:dyDescent="0.3">
      <c r="B844" s="158">
        <f t="shared" si="3706"/>
        <v>44744</v>
      </c>
      <c r="C844" s="61"/>
      <c r="D844" s="17">
        <v>15245</v>
      </c>
      <c r="E844" s="16"/>
      <c r="F844" s="16"/>
      <c r="G844" s="16"/>
      <c r="H844" s="16">
        <f t="shared" ref="H844" si="3887">+H843+D844</f>
        <v>76748693</v>
      </c>
      <c r="I844" s="16"/>
      <c r="J844" s="436">
        <f t="shared" ref="J844" si="3888">+D844/H843</f>
        <v>1.9867476827054611E-4</v>
      </c>
      <c r="K844" s="16"/>
      <c r="L844" s="16"/>
      <c r="M844" s="16"/>
      <c r="N844" s="16">
        <f t="shared" ref="N844" si="3889">SUM(D838:D844)</f>
        <v>455402</v>
      </c>
      <c r="O844" s="16">
        <f t="shared" ref="O844" si="3890">+H844/BW844</f>
        <v>91914.602395209586</v>
      </c>
      <c r="P844" s="41"/>
      <c r="Q844" s="17">
        <f t="shared" ref="Q844" si="3891">SUM(D838:D844)</f>
        <v>455402</v>
      </c>
      <c r="R844" s="16"/>
      <c r="S844" s="60">
        <f t="shared" ref="S844" si="3892">+(Q844-Q837)/Q837</f>
        <v>-4.0756101619585844E-2</v>
      </c>
      <c r="T844" s="16"/>
      <c r="U844" s="41"/>
      <c r="V844" s="10">
        <f t="shared" si="558"/>
        <v>736</v>
      </c>
      <c r="W844" s="34">
        <v>27</v>
      </c>
      <c r="X844" s="33">
        <v>4256</v>
      </c>
      <c r="Y844" s="33"/>
      <c r="Z844" s="33">
        <f t="shared" ref="Z844" si="3893">SUM(W839:W844)</f>
        <v>1212</v>
      </c>
      <c r="AA844" s="33">
        <f t="shared" ref="AA844" si="3894">+AA843+W844</f>
        <v>903516</v>
      </c>
      <c r="AB844" s="33"/>
      <c r="AC844" s="46">
        <f t="shared" ref="AC844" si="3895">+AA844/H844</f>
        <v>1.1772395915589077E-2</v>
      </c>
      <c r="AD844" s="33"/>
      <c r="AE844" s="33">
        <f t="shared" ref="AE844" si="3896">+AA844/BW844</f>
        <v>1082.0550898203592</v>
      </c>
      <c r="AF844" s="50"/>
      <c r="AG844" s="33"/>
      <c r="AH844" s="33"/>
      <c r="AI844" s="213"/>
      <c r="AJ844" s="50"/>
      <c r="AL844" s="23">
        <f t="shared" ref="AL844" si="3897">+AP844-AP843</f>
        <v>13198</v>
      </c>
      <c r="AM844" s="24"/>
      <c r="AN844" s="24"/>
      <c r="AO844" s="24">
        <v>178263</v>
      </c>
      <c r="AP844" s="24">
        <v>85010341</v>
      </c>
      <c r="AQ844" s="24">
        <v>20336656</v>
      </c>
      <c r="AR844" s="461">
        <f t="shared" ref="AR844" si="3898">+AL844/AP843</f>
        <v>1.5527580732919459E-4</v>
      </c>
      <c r="AS844" s="25"/>
      <c r="AT844" s="25"/>
      <c r="AU844" s="24"/>
      <c r="AV844" s="298">
        <f t="shared" ref="AV844" si="3899">+AP844/H844</f>
        <v>1.1076454552783068</v>
      </c>
      <c r="AW844" s="298"/>
      <c r="AX844" s="24">
        <f t="shared" ref="AX844" si="3900">+AP844/BW844</f>
        <v>101808.79161676647</v>
      </c>
      <c r="AY844" s="308"/>
      <c r="BA844" s="65">
        <f t="shared" ref="BA844" si="3901">+BC844-BC843</f>
        <v>74933</v>
      </c>
      <c r="BB844" s="66"/>
      <c r="BC844" s="66">
        <v>1052874749</v>
      </c>
      <c r="BD844" s="66"/>
      <c r="BE844" s="66">
        <f t="shared" ref="BE844" si="3902">+D844</f>
        <v>15245</v>
      </c>
      <c r="BF844" s="66"/>
      <c r="BG844" s="144">
        <f t="shared" ref="BG844" si="3903">+BE844/BA844</f>
        <v>0.20344841391643201</v>
      </c>
      <c r="BH844" s="66"/>
      <c r="BI844" s="170"/>
      <c r="BJ844" s="66"/>
      <c r="BK844" s="66"/>
      <c r="BL844" s="66"/>
      <c r="BM844" s="144"/>
      <c r="BN844" s="65">
        <f t="shared" ref="BN844" si="3904">+BC844/BW844</f>
        <v>1260927.8431137726</v>
      </c>
      <c r="BO844" s="66"/>
      <c r="BP844" s="66">
        <f t="shared" ref="BP844" si="3905">+BP843+BE844</f>
        <v>75841715</v>
      </c>
      <c r="BQ844" s="66"/>
      <c r="BR844" s="435">
        <f t="shared" ref="BR844" si="3906">+BP844/BC844</f>
        <v>7.2032988797606737E-2</v>
      </c>
      <c r="BS844" s="66"/>
      <c r="BT844" s="75"/>
      <c r="BU844" s="170"/>
      <c r="BV844" s="1"/>
      <c r="BW844" s="61">
        <f t="shared" si="1544"/>
        <v>835</v>
      </c>
      <c r="BY844" s="59"/>
    </row>
    <row r="845" spans="2:77" x14ac:dyDescent="0.3">
      <c r="B845" s="347">
        <f t="shared" si="3706"/>
        <v>44745</v>
      </c>
      <c r="C845" s="61"/>
      <c r="D845" s="17">
        <v>10094</v>
      </c>
      <c r="E845" s="16"/>
      <c r="F845" s="16"/>
      <c r="G845" s="16"/>
      <c r="H845" s="16">
        <f t="shared" ref="H845" si="3907">+H844+D845</f>
        <v>76758787</v>
      </c>
      <c r="I845" s="16"/>
      <c r="J845" s="436">
        <f t="shared" ref="J845" si="3908">+D845/H844</f>
        <v>1.3152015500772111E-4</v>
      </c>
      <c r="K845" s="16"/>
      <c r="L845" s="16"/>
      <c r="M845" s="16"/>
      <c r="N845" s="16">
        <f t="shared" ref="N845" si="3909">SUM(D839:D845)</f>
        <v>445211</v>
      </c>
      <c r="O845" s="16">
        <f t="shared" ref="O845" si="3910">+H845/BW845</f>
        <v>91816.730861244025</v>
      </c>
      <c r="P845" s="41"/>
      <c r="Q845" s="17">
        <f t="shared" ref="Q845" si="3911">SUM(D839:D845)</f>
        <v>445211</v>
      </c>
      <c r="R845" s="16"/>
      <c r="S845" s="60">
        <f t="shared" ref="S845" si="3912">+(Q845-Q838)/Q838</f>
        <v>-4.1090786126744334E-2</v>
      </c>
      <c r="T845" s="16"/>
      <c r="U845" s="41"/>
      <c r="V845" s="10">
        <f t="shared" si="558"/>
        <v>737</v>
      </c>
      <c r="W845" s="34">
        <v>12</v>
      </c>
      <c r="X845" s="33">
        <v>4256</v>
      </c>
      <c r="Y845" s="33"/>
      <c r="Z845" s="33">
        <f t="shared" ref="Z845" si="3913">SUM(W840:W845)</f>
        <v>1144</v>
      </c>
      <c r="AA845" s="33">
        <f t="shared" ref="AA845" si="3914">+AA844+W845</f>
        <v>903528</v>
      </c>
      <c r="AB845" s="33"/>
      <c r="AC845" s="46">
        <f t="shared" ref="AC845" si="3915">+AA845/H845</f>
        <v>1.1771004145753371E-2</v>
      </c>
      <c r="AD845" s="33"/>
      <c r="AE845" s="33">
        <f t="shared" ref="AE845" si="3916">+AA845/BW845</f>
        <v>1080.7751196172248</v>
      </c>
      <c r="AF845" s="50"/>
      <c r="AG845" s="33"/>
      <c r="AH845" s="33"/>
      <c r="AI845" s="213"/>
      <c r="AJ845" s="50"/>
      <c r="AL845" s="23">
        <f t="shared" ref="AL845" si="3917">+AP845-AP844</f>
        <v>162511</v>
      </c>
      <c r="AM845" s="24"/>
      <c r="AN845" s="24"/>
      <c r="AO845" s="24">
        <v>178263</v>
      </c>
      <c r="AP845" s="24">
        <v>85172852</v>
      </c>
      <c r="AQ845" s="24">
        <v>20336656</v>
      </c>
      <c r="AR845" s="461">
        <f t="shared" ref="AR845" si="3918">+AL845/AP844</f>
        <v>1.9116615471522459E-3</v>
      </c>
      <c r="AS845" s="25"/>
      <c r="AT845" s="25"/>
      <c r="AU845" s="24"/>
      <c r="AV845" s="298">
        <f t="shared" ref="AV845" si="3919">+AP845/H845</f>
        <v>1.1096169615082636</v>
      </c>
      <c r="AW845" s="298"/>
      <c r="AX845" s="24">
        <f t="shared" ref="AX845" si="3920">+AP845/BW845</f>
        <v>101881.4019138756</v>
      </c>
      <c r="AY845" s="308"/>
      <c r="BA845" s="65">
        <f t="shared" ref="BA845" si="3921">+BC845-BC844</f>
        <v>69254</v>
      </c>
      <c r="BB845" s="66"/>
      <c r="BC845" s="66">
        <v>1052944003</v>
      </c>
      <c r="BD845" s="66"/>
      <c r="BE845" s="66">
        <f t="shared" ref="BE845" si="3922">+D845</f>
        <v>10094</v>
      </c>
      <c r="BF845" s="66"/>
      <c r="BG845" s="144">
        <f t="shared" ref="BG845" si="3923">+BE845/BA845</f>
        <v>0.14575331388800647</v>
      </c>
      <c r="BH845" s="66"/>
      <c r="BI845" s="170"/>
      <c r="BJ845" s="66"/>
      <c r="BK845" s="66"/>
      <c r="BL845" s="66"/>
      <c r="BM845" s="144"/>
      <c r="BN845" s="65">
        <f t="shared" ref="BN845" si="3924">+BC845/BW845</f>
        <v>1259502.3959330143</v>
      </c>
      <c r="BO845" s="66"/>
      <c r="BP845" s="66">
        <f t="shared" ref="BP845" si="3925">+BP844+BE845</f>
        <v>75851809</v>
      </c>
      <c r="BQ845" s="66"/>
      <c r="BR845" s="435">
        <f t="shared" ref="BR845" si="3926">+BP845/BC845</f>
        <v>7.2037837514517852E-2</v>
      </c>
      <c r="BS845" s="66"/>
      <c r="BT845" s="75"/>
      <c r="BU845" s="170"/>
      <c r="BV845" s="1"/>
      <c r="BW845" s="61">
        <f t="shared" si="1544"/>
        <v>836</v>
      </c>
      <c r="BY845" s="59"/>
    </row>
    <row r="846" spans="2:77" x14ac:dyDescent="0.3">
      <c r="B846" s="158">
        <f t="shared" si="3706"/>
        <v>44746</v>
      </c>
      <c r="C846" s="61"/>
      <c r="D846" s="17">
        <v>13317</v>
      </c>
      <c r="E846" s="16"/>
      <c r="F846" s="16"/>
      <c r="G846" s="16"/>
      <c r="H846" s="16">
        <f t="shared" ref="H846" si="3927">+H845+D846</f>
        <v>76772104</v>
      </c>
      <c r="I846" s="16"/>
      <c r="J846" s="436">
        <f t="shared" ref="J846" si="3928">+D846/H845</f>
        <v>1.7349153784829873E-4</v>
      </c>
      <c r="K846" s="16"/>
      <c r="L846" s="16"/>
      <c r="M846" s="16"/>
      <c r="N846" s="16">
        <f t="shared" ref="N846" si="3929">SUM(D840:D846)</f>
        <v>406125</v>
      </c>
      <c r="O846" s="16">
        <f t="shared" ref="O846" si="3930">+H846/BW846</f>
        <v>91722.943847072878</v>
      </c>
      <c r="P846" s="41"/>
      <c r="Q846" s="17">
        <f t="shared" ref="Q846" si="3931">SUM(D840:D846)</f>
        <v>406125</v>
      </c>
      <c r="R846" s="16"/>
      <c r="S846" s="60">
        <f t="shared" ref="S846" si="3932">+(Q846-Q839)/Q839</f>
        <v>-0.17776810479217703</v>
      </c>
      <c r="T846" s="16"/>
      <c r="U846" s="41"/>
      <c r="V846" s="10">
        <f t="shared" si="558"/>
        <v>738</v>
      </c>
      <c r="W846" s="34">
        <v>38</v>
      </c>
      <c r="X846" s="33">
        <v>4256</v>
      </c>
      <c r="Y846" s="33"/>
      <c r="Z846" s="33">
        <f t="shared" ref="Z846" si="3933">SUM(W841:W846)</f>
        <v>914</v>
      </c>
      <c r="AA846" s="33">
        <f t="shared" ref="AA846" si="3934">+AA845+W846</f>
        <v>903566</v>
      </c>
      <c r="AB846" s="33"/>
      <c r="AC846" s="46">
        <f t="shared" ref="AC846" si="3935">+AA846/H846</f>
        <v>1.176945730183453E-2</v>
      </c>
      <c r="AD846" s="33"/>
      <c r="AE846" s="33">
        <f t="shared" ref="AE846" si="3936">+AA846/BW846</f>
        <v>1079.5292712066905</v>
      </c>
      <c r="AF846" s="50"/>
      <c r="AG846" s="33"/>
      <c r="AH846" s="33"/>
      <c r="AI846" s="213"/>
      <c r="AJ846" s="50"/>
      <c r="AL846" s="23">
        <f t="shared" ref="AL846" si="3937">+AP846-AP845</f>
        <v>113249</v>
      </c>
      <c r="AM846" s="24"/>
      <c r="AN846" s="24"/>
      <c r="AO846" s="24">
        <v>178263</v>
      </c>
      <c r="AP846" s="24">
        <v>85286101</v>
      </c>
      <c r="AQ846" s="24">
        <v>20336656</v>
      </c>
      <c r="AR846" s="461">
        <f t="shared" ref="AR846" si="3938">+AL846/AP845</f>
        <v>1.329637288651553E-3</v>
      </c>
      <c r="AS846" s="25"/>
      <c r="AT846" s="25"/>
      <c r="AU846" s="24"/>
      <c r="AV846" s="298">
        <f t="shared" ref="AV846" si="3939">+AP846/H846</f>
        <v>1.1108996179132984</v>
      </c>
      <c r="AW846" s="298"/>
      <c r="AX846" s="24">
        <f t="shared" ref="AX846" si="3940">+AP846/BW846</f>
        <v>101894.98327359618</v>
      </c>
      <c r="AY846" s="308"/>
      <c r="BA846" s="65">
        <f t="shared" ref="BA846" si="3941">+BC846-BC845</f>
        <v>43799</v>
      </c>
      <c r="BB846" s="66"/>
      <c r="BC846" s="66">
        <v>1052987802</v>
      </c>
      <c r="BD846" s="66"/>
      <c r="BE846" s="66">
        <f t="shared" ref="BE846" si="3942">+D846</f>
        <v>13317</v>
      </c>
      <c r="BF846" s="66"/>
      <c r="BG846" s="144">
        <f t="shared" ref="BG846" si="3943">+BE846/BA846</f>
        <v>0.30404803762642985</v>
      </c>
      <c r="BH846" s="66"/>
      <c r="BI846" s="170"/>
      <c r="BJ846" s="66"/>
      <c r="BK846" s="66"/>
      <c r="BL846" s="66"/>
      <c r="BM846" s="144"/>
      <c r="BN846" s="65">
        <f t="shared" ref="BN846" si="3944">+BC846/BW846</f>
        <v>1258049.9426523298</v>
      </c>
      <c r="BO846" s="66"/>
      <c r="BP846" s="66">
        <f t="shared" ref="BP846" si="3945">+BP845+BE846</f>
        <v>75865126</v>
      </c>
      <c r="BQ846" s="66"/>
      <c r="BR846" s="435">
        <f t="shared" ref="BR846" si="3946">+BP846/BC846</f>
        <v>7.2047487972704924E-2</v>
      </c>
      <c r="BS846" s="66"/>
      <c r="BT846" s="75"/>
      <c r="BU846" s="170"/>
      <c r="BV846" s="1"/>
      <c r="BW846" s="61">
        <f t="shared" si="1544"/>
        <v>837</v>
      </c>
      <c r="BY846" s="59"/>
    </row>
    <row r="847" spans="2:77" x14ac:dyDescent="0.3">
      <c r="B847" s="158">
        <f t="shared" si="3706"/>
        <v>44747</v>
      </c>
      <c r="C847" s="61"/>
      <c r="D847" s="17">
        <v>45685</v>
      </c>
      <c r="E847" s="16"/>
      <c r="F847" s="16"/>
      <c r="G847" s="16"/>
      <c r="H847" s="16">
        <f t="shared" ref="H847" si="3947">+H846+D847</f>
        <v>76817789</v>
      </c>
      <c r="I847" s="16"/>
      <c r="J847" s="436">
        <f t="shared" ref="J847" si="3948">+D847/H846</f>
        <v>5.9507291867368908E-4</v>
      </c>
      <c r="K847" s="16"/>
      <c r="L847" s="16"/>
      <c r="M847" s="16"/>
      <c r="N847" s="16">
        <f t="shared" ref="N847" si="3949">SUM(D841:D847)</f>
        <v>373362</v>
      </c>
      <c r="O847" s="16">
        <f t="shared" ref="O847" si="3950">+H847/BW847</f>
        <v>91668.005966587109</v>
      </c>
      <c r="P847" s="41"/>
      <c r="Q847" s="17">
        <f t="shared" ref="Q847" si="3951">SUM(D841:D847)</f>
        <v>373362</v>
      </c>
      <c r="R847" s="16"/>
      <c r="S847" s="60">
        <f t="shared" ref="S847" si="3952">+(Q847-Q840)/Q840</f>
        <v>-0.23531821291202601</v>
      </c>
      <c r="T847" s="16"/>
      <c r="U847" s="41"/>
      <c r="V847" s="10">
        <f t="shared" si="558"/>
        <v>739</v>
      </c>
      <c r="W847" s="34">
        <v>144</v>
      </c>
      <c r="X847" s="33">
        <v>4256</v>
      </c>
      <c r="Y847" s="33"/>
      <c r="Z847" s="33">
        <f t="shared" ref="Z847" si="3953">SUM(W842:W847)</f>
        <v>732</v>
      </c>
      <c r="AA847" s="33">
        <f t="shared" ref="AA847" si="3954">+AA846+W847</f>
        <v>903710</v>
      </c>
      <c r="AB847" s="33"/>
      <c r="AC847" s="46">
        <f t="shared" ref="AC847" si="3955">+AA847/H847</f>
        <v>1.1764332347550383E-2</v>
      </c>
      <c r="AD847" s="33"/>
      <c r="AE847" s="33">
        <f t="shared" ref="AE847" si="3956">+AA847/BW847</f>
        <v>1078.4128878281622</v>
      </c>
      <c r="AF847" s="50"/>
      <c r="AG847" s="33"/>
      <c r="AH847" s="33"/>
      <c r="AI847" s="213"/>
      <c r="AJ847" s="50"/>
      <c r="AL847" s="23">
        <f t="shared" ref="AL847" si="3957">+AP847-AP846</f>
        <v>103769</v>
      </c>
      <c r="AM847" s="24"/>
      <c r="AN847" s="24"/>
      <c r="AO847" s="24">
        <v>178263</v>
      </c>
      <c r="AP847" s="24">
        <v>85389870</v>
      </c>
      <c r="AQ847" s="24">
        <v>20336656</v>
      </c>
      <c r="AR847" s="461">
        <f t="shared" ref="AR847" si="3958">+AL847/AP846</f>
        <v>1.2167164260446141E-3</v>
      </c>
      <c r="AS847" s="25"/>
      <c r="AT847" s="25"/>
      <c r="AU847" s="24"/>
      <c r="AV847" s="298">
        <f t="shared" ref="AV847" si="3959">+AP847/H847</f>
        <v>1.1115897907449537</v>
      </c>
      <c r="AW847" s="298"/>
      <c r="AX847" s="24">
        <f t="shared" ref="AX847" si="3960">+AP847/BW847</f>
        <v>101897.21957040572</v>
      </c>
      <c r="AY847" s="308"/>
      <c r="BA847" s="65">
        <f t="shared" ref="BA847" si="3961">+BC847-BC846</f>
        <v>1112444</v>
      </c>
      <c r="BB847" s="66"/>
      <c r="BC847" s="66">
        <v>1054100246</v>
      </c>
      <c r="BD847" s="66"/>
      <c r="BE847" s="66">
        <f t="shared" ref="BE847" si="3962">+D847</f>
        <v>45685</v>
      </c>
      <c r="BF847" s="66"/>
      <c r="BG847" s="144">
        <f t="shared" ref="BG847" si="3963">+BE847/BA847</f>
        <v>4.1067235744001493E-2</v>
      </c>
      <c r="BH847" s="66"/>
      <c r="BI847" s="170"/>
      <c r="BJ847" s="66"/>
      <c r="BK847" s="66"/>
      <c r="BL847" s="66"/>
      <c r="BM847" s="144"/>
      <c r="BN847" s="65">
        <f t="shared" ref="BN847" si="3964">+BC847/BW847</f>
        <v>1257876.1885441528</v>
      </c>
      <c r="BO847" s="66"/>
      <c r="BP847" s="66">
        <f t="shared" ref="BP847" si="3965">+BP846+BE847</f>
        <v>75910811</v>
      </c>
      <c r="BQ847" s="66"/>
      <c r="BR847" s="435">
        <f t="shared" ref="BR847" si="3966">+BP847/BC847</f>
        <v>7.2014792983930292E-2</v>
      </c>
      <c r="BS847" s="66"/>
      <c r="BT847" s="75"/>
      <c r="BU847" s="170"/>
      <c r="BV847" s="1"/>
      <c r="BW847" s="61">
        <f t="shared" si="1544"/>
        <v>838</v>
      </c>
      <c r="BY847" s="59"/>
    </row>
    <row r="848" spans="2:77" x14ac:dyDescent="0.3">
      <c r="B848" s="158">
        <f t="shared" si="3706"/>
        <v>44748</v>
      </c>
      <c r="C848" s="61"/>
      <c r="D848" s="17">
        <v>99952</v>
      </c>
      <c r="E848" s="16"/>
      <c r="F848" s="16"/>
      <c r="G848" s="16"/>
      <c r="H848" s="16">
        <f t="shared" ref="H848" si="3967">+H847+D848</f>
        <v>76917741</v>
      </c>
      <c r="I848" s="16"/>
      <c r="J848" s="436">
        <f t="shared" ref="J848" si="3968">+D848/H847</f>
        <v>1.3011569494664837E-3</v>
      </c>
      <c r="K848" s="16"/>
      <c r="L848" s="16"/>
      <c r="M848" s="16"/>
      <c r="N848" s="16">
        <f t="shared" ref="N848" si="3969">SUM(D842:D848)</f>
        <v>373057</v>
      </c>
      <c r="O848" s="16">
        <f t="shared" ref="O848" si="3970">+H848/BW848</f>
        <v>91677.879618593564</v>
      </c>
      <c r="P848" s="41"/>
      <c r="Q848" s="17">
        <f t="shared" ref="Q848" si="3971">SUM(D842:D848)</f>
        <v>373057</v>
      </c>
      <c r="R848" s="16"/>
      <c r="S848" s="60">
        <f t="shared" ref="S848" si="3972">+(Q848-Q841)/Q841</f>
        <v>-0.24585892236970311</v>
      </c>
      <c r="T848" s="16"/>
      <c r="U848" s="41"/>
      <c r="V848" s="10">
        <f t="shared" si="558"/>
        <v>740</v>
      </c>
      <c r="W848" s="34">
        <v>347</v>
      </c>
      <c r="X848" s="33">
        <v>4256</v>
      </c>
      <c r="Y848" s="33"/>
      <c r="Z848" s="33">
        <f t="shared" ref="Z848" si="3973">SUM(W843:W848)</f>
        <v>851</v>
      </c>
      <c r="AA848" s="33">
        <f t="shared" ref="AA848" si="3974">+AA847+W848</f>
        <v>904057</v>
      </c>
      <c r="AB848" s="33"/>
      <c r="AC848" s="46">
        <f t="shared" ref="AC848" si="3975">+AA848/H848</f>
        <v>1.1753556308940483E-2</v>
      </c>
      <c r="AD848" s="33"/>
      <c r="AE848" s="33">
        <f t="shared" ref="AE848" si="3976">+AA848/BW848</f>
        <v>1077.5411203814065</v>
      </c>
      <c r="AF848" s="50"/>
      <c r="AG848" s="33"/>
      <c r="AH848" s="33"/>
      <c r="AI848" s="213"/>
      <c r="AJ848" s="50"/>
      <c r="AL848" s="23">
        <f t="shared" ref="AL848" si="3977">+AP848-AP847</f>
        <v>137892</v>
      </c>
      <c r="AM848" s="24"/>
      <c r="AN848" s="24"/>
      <c r="AO848" s="24">
        <v>178263</v>
      </c>
      <c r="AP848" s="24">
        <v>85527762</v>
      </c>
      <c r="AQ848" s="24">
        <v>20336656</v>
      </c>
      <c r="AR848" s="461">
        <f t="shared" ref="AR848" si="3978">+AL848/AP847</f>
        <v>1.6148519724880715E-3</v>
      </c>
      <c r="AS848" s="25"/>
      <c r="AT848" s="25"/>
      <c r="AU848" s="24"/>
      <c r="AV848" s="298">
        <f t="shared" ref="AV848" si="3979">+AP848/H848</f>
        <v>1.1119380378058685</v>
      </c>
      <c r="AW848" s="298"/>
      <c r="AX848" s="24">
        <f t="shared" ref="AX848" si="3980">+AP848/BW848</f>
        <v>101940.12157330156</v>
      </c>
      <c r="AY848" s="308"/>
      <c r="BA848" s="65">
        <f t="shared" ref="BA848" si="3981">+BC848-BC847</f>
        <v>865796</v>
      </c>
      <c r="BB848" s="66"/>
      <c r="BC848" s="66">
        <v>1054966042</v>
      </c>
      <c r="BD848" s="66"/>
      <c r="BE848" s="66">
        <f t="shared" ref="BE848" si="3982">+D848</f>
        <v>99952</v>
      </c>
      <c r="BF848" s="66"/>
      <c r="BG848" s="144">
        <f t="shared" ref="BG848" si="3983">+BE848/BA848</f>
        <v>0.11544520880207347</v>
      </c>
      <c r="BH848" s="66"/>
      <c r="BI848" s="170"/>
      <c r="BJ848" s="66"/>
      <c r="BK848" s="66"/>
      <c r="BL848" s="66"/>
      <c r="BM848" s="144"/>
      <c r="BN848" s="65">
        <f t="shared" ref="BN848" si="3984">+BC848/BW848</f>
        <v>1257408.8700834326</v>
      </c>
      <c r="BO848" s="66"/>
      <c r="BP848" s="66">
        <f t="shared" ref="BP848" si="3985">+BP847+BE848</f>
        <v>76010763</v>
      </c>
      <c r="BQ848" s="66"/>
      <c r="BR848" s="435">
        <f t="shared" ref="BR848" si="3986">+BP848/BC848</f>
        <v>7.2050435723882755E-2</v>
      </c>
      <c r="BS848" s="66"/>
      <c r="BT848" s="75"/>
      <c r="BU848" s="170"/>
      <c r="BV848" s="1"/>
      <c r="BW848" s="61">
        <f t="shared" si="1544"/>
        <v>839</v>
      </c>
      <c r="BY848" s="59"/>
    </row>
    <row r="849" spans="2:85" x14ac:dyDescent="0.3">
      <c r="B849" s="158">
        <f t="shared" si="3706"/>
        <v>44749</v>
      </c>
      <c r="C849" s="61"/>
      <c r="D849" s="17">
        <v>91472</v>
      </c>
      <c r="E849" s="16"/>
      <c r="F849" s="16"/>
      <c r="G849" s="16"/>
      <c r="H849" s="16">
        <f t="shared" ref="H849" si="3987">+H848+D849</f>
        <v>77009213</v>
      </c>
      <c r="I849" s="16"/>
      <c r="J849" s="436">
        <f t="shared" ref="J849" si="3988">+D849/H848</f>
        <v>1.1892184925191705E-3</v>
      </c>
      <c r="K849" s="16"/>
      <c r="L849" s="16"/>
      <c r="M849" s="16"/>
      <c r="N849" s="16">
        <f t="shared" ref="N849" si="3989">SUM(D843:D849)</f>
        <v>378553</v>
      </c>
      <c r="O849" s="16">
        <f t="shared" ref="O849" si="3990">+H849/BW849</f>
        <v>91677.634523809524</v>
      </c>
      <c r="P849" s="41"/>
      <c r="Q849" s="17">
        <f t="shared" ref="Q849" si="3991">SUM(D843:D849)</f>
        <v>378553</v>
      </c>
      <c r="R849" s="16"/>
      <c r="S849" s="60">
        <f t="shared" ref="S849" si="3992">+(Q849-Q842)/Q842</f>
        <v>-0.21778812774820644</v>
      </c>
      <c r="T849" s="16"/>
      <c r="U849" s="41"/>
      <c r="V849" s="10">
        <f t="shared" si="558"/>
        <v>741</v>
      </c>
      <c r="W849" s="34">
        <v>320</v>
      </c>
      <c r="X849" s="33">
        <v>4256</v>
      </c>
      <c r="Y849" s="33"/>
      <c r="Z849" s="33">
        <f t="shared" ref="Z849" si="3993">SUM(W844:W849)</f>
        <v>888</v>
      </c>
      <c r="AA849" s="33">
        <f t="shared" ref="AA849" si="3994">+AA848+W849</f>
        <v>904377</v>
      </c>
      <c r="AB849" s="33"/>
      <c r="AC849" s="46">
        <f t="shared" ref="AC849" si="3995">+AA849/H849</f>
        <v>1.1743750712008965E-2</v>
      </c>
      <c r="AD849" s="33"/>
      <c r="AE849" s="33">
        <f t="shared" ref="AE849" si="3996">+AA849/BW849</f>
        <v>1076.6392857142857</v>
      </c>
      <c r="AF849" s="50"/>
      <c r="AG849" s="33"/>
      <c r="AH849" s="33"/>
      <c r="AI849" s="213"/>
      <c r="AJ849" s="50"/>
      <c r="AL849" s="23">
        <f t="shared" ref="AL849" si="3997">+AP849-AP848</f>
        <v>96620</v>
      </c>
      <c r="AM849" s="24"/>
      <c r="AN849" s="24"/>
      <c r="AO849" s="24">
        <v>178263</v>
      </c>
      <c r="AP849" s="24">
        <v>85624382</v>
      </c>
      <c r="AQ849" s="24">
        <v>20336656</v>
      </c>
      <c r="AR849" s="461">
        <f t="shared" ref="AR849" si="3998">+AL849/AP848</f>
        <v>1.1296916666660821E-3</v>
      </c>
      <c r="AS849" s="25"/>
      <c r="AT849" s="25"/>
      <c r="AU849" s="24"/>
      <c r="AV849" s="298">
        <f t="shared" ref="AV849" si="3999">+AP849/H849</f>
        <v>1.1118719262849759</v>
      </c>
      <c r="AW849" s="298"/>
      <c r="AX849" s="24">
        <f t="shared" ref="AX849" si="4000">+AP849/BW849</f>
        <v>101933.78809523809</v>
      </c>
      <c r="AY849" s="308"/>
      <c r="BA849" s="65">
        <f t="shared" ref="BA849" si="4001">+BC849-BC848</f>
        <v>349859</v>
      </c>
      <c r="BB849" s="66"/>
      <c r="BC849" s="66">
        <v>1055315901</v>
      </c>
      <c r="BD849" s="66"/>
      <c r="BE849" s="66">
        <f t="shared" ref="BE849" si="4002">+D849</f>
        <v>91472</v>
      </c>
      <c r="BF849" s="66"/>
      <c r="BG849" s="144">
        <f t="shared" ref="BG849" si="4003">+BE849/BA849</f>
        <v>0.26145389999971419</v>
      </c>
      <c r="BH849" s="66"/>
      <c r="BI849" s="170"/>
      <c r="BJ849" s="66"/>
      <c r="BK849" s="66"/>
      <c r="BL849" s="66"/>
      <c r="BM849" s="144"/>
      <c r="BN849" s="65">
        <f t="shared" ref="BN849" si="4004">+BC849/BW849</f>
        <v>1256328.4535714285</v>
      </c>
      <c r="BO849" s="66"/>
      <c r="BP849" s="66">
        <f t="shared" ref="BP849" si="4005">+BP848+BE849</f>
        <v>76102235</v>
      </c>
      <c r="BQ849" s="66"/>
      <c r="BR849" s="435">
        <f t="shared" ref="BR849" si="4006">+BP849/BC849</f>
        <v>7.211322688105691E-2</v>
      </c>
      <c r="BS849" s="66"/>
      <c r="BT849" s="75"/>
      <c r="BU849" s="170"/>
      <c r="BV849" s="1"/>
      <c r="BW849" s="61">
        <f t="shared" si="1544"/>
        <v>840</v>
      </c>
      <c r="BY849" s="59"/>
    </row>
    <row r="850" spans="2:85" x14ac:dyDescent="0.3">
      <c r="B850" s="158">
        <f t="shared" si="3706"/>
        <v>44750</v>
      </c>
      <c r="C850" s="61"/>
      <c r="D850" s="17">
        <v>107977</v>
      </c>
      <c r="E850" s="16"/>
      <c r="F850" s="16"/>
      <c r="G850" s="16"/>
      <c r="H850" s="16">
        <f t="shared" ref="H850" si="4007">+H849+D850</f>
        <v>77117190</v>
      </c>
      <c r="I850" s="16"/>
      <c r="J850" s="436">
        <f t="shared" ref="J850" si="4008">+D850/H849</f>
        <v>1.4021309372425348E-3</v>
      </c>
      <c r="K850" s="16"/>
      <c r="L850" s="16"/>
      <c r="M850" s="16"/>
      <c r="N850" s="16">
        <f t="shared" ref="N850" si="4009">SUM(D844:D850)</f>
        <v>383742</v>
      </c>
      <c r="O850" s="16">
        <f t="shared" ref="O850" si="4010">+H850/BW850</f>
        <v>91697.015457788351</v>
      </c>
      <c r="P850" s="41"/>
      <c r="Q850" s="17">
        <f t="shared" ref="Q850" si="4011">SUM(D844:D850)</f>
        <v>383742</v>
      </c>
      <c r="R850" s="16"/>
      <c r="S850" s="60">
        <f t="shared" ref="S850" si="4012">+(Q850-Q843)/Q843</f>
        <v>-0.20685621217632857</v>
      </c>
      <c r="T850" s="16"/>
      <c r="U850" s="41"/>
      <c r="V850" s="10">
        <f t="shared" si="558"/>
        <v>742</v>
      </c>
      <c r="W850" s="34">
        <v>303</v>
      </c>
      <c r="X850" s="33">
        <v>4256</v>
      </c>
      <c r="Y850" s="33"/>
      <c r="Z850" s="33">
        <f t="shared" ref="Z850" si="4013">SUM(W845:W850)</f>
        <v>1164</v>
      </c>
      <c r="AA850" s="33">
        <f t="shared" ref="AA850" si="4014">+AA849+W850</f>
        <v>904680</v>
      </c>
      <c r="AB850" s="33"/>
      <c r="AC850" s="46">
        <f t="shared" ref="AC850" si="4015">+AA850/H850</f>
        <v>1.173123657643646E-2</v>
      </c>
      <c r="AD850" s="33"/>
      <c r="AE850" s="33">
        <f t="shared" ref="AE850" si="4016">+AA850/BW850</f>
        <v>1075.719381688466</v>
      </c>
      <c r="AF850" s="50"/>
      <c r="AG850" s="33"/>
      <c r="AH850" s="33"/>
      <c r="AI850" s="213"/>
      <c r="AJ850" s="50"/>
      <c r="AL850" s="23">
        <f t="shared" ref="AL850" si="4017">+AP850-AP849</f>
        <v>91633</v>
      </c>
      <c r="AM850" s="24"/>
      <c r="AN850" s="24"/>
      <c r="AO850" s="24">
        <v>178263</v>
      </c>
      <c r="AP850" s="24">
        <v>85716015</v>
      </c>
      <c r="AQ850" s="24">
        <v>20336656</v>
      </c>
      <c r="AR850" s="461">
        <f t="shared" ref="AR850" si="4018">+AL850/AP849</f>
        <v>1.0701741473591016E-3</v>
      </c>
      <c r="AS850" s="25"/>
      <c r="AT850" s="25"/>
      <c r="AU850" s="24"/>
      <c r="AV850" s="298">
        <f t="shared" ref="AV850" si="4019">+AP850/H850</f>
        <v>1.1115033496422781</v>
      </c>
      <c r="AW850" s="298"/>
      <c r="AX850" s="24">
        <f t="shared" ref="AX850" si="4020">+AP850/BW850</f>
        <v>101921.53983353151</v>
      </c>
      <c r="AY850" s="308"/>
      <c r="BA850" s="65">
        <f t="shared" ref="BA850" si="4021">+BC850-BC849</f>
        <v>1478632</v>
      </c>
      <c r="BB850" s="66"/>
      <c r="BC850" s="66">
        <v>1056794533</v>
      </c>
      <c r="BD850" s="66"/>
      <c r="BE850" s="66">
        <f t="shared" ref="BE850" si="4022">+D850</f>
        <v>107977</v>
      </c>
      <c r="BF850" s="66"/>
      <c r="BG850" s="144">
        <f t="shared" ref="BG850" si="4023">+BE850/BA850</f>
        <v>7.3024931152578867E-2</v>
      </c>
      <c r="BH850" s="66"/>
      <c r="BI850" s="170"/>
      <c r="BJ850" s="66"/>
      <c r="BK850" s="66"/>
      <c r="BL850" s="66"/>
      <c r="BM850" s="144"/>
      <c r="BN850" s="65">
        <f t="shared" ref="BN850" si="4024">+BC850/BW850</f>
        <v>1256592.7859690844</v>
      </c>
      <c r="BO850" s="66"/>
      <c r="BP850" s="66">
        <f t="shared" ref="BP850" si="4025">+BP849+BE850</f>
        <v>76210212</v>
      </c>
      <c r="BQ850" s="66"/>
      <c r="BR850" s="435">
        <f t="shared" ref="BR850" si="4026">+BP850/BC850</f>
        <v>7.2114502507556022E-2</v>
      </c>
      <c r="BS850" s="66"/>
      <c r="BT850" s="75"/>
      <c r="BU850" s="170"/>
      <c r="BV850" s="1"/>
      <c r="BW850" s="61">
        <f t="shared" si="1544"/>
        <v>841</v>
      </c>
      <c r="BY850" s="59"/>
    </row>
    <row r="851" spans="2:85" x14ac:dyDescent="0.3">
      <c r="B851" s="158">
        <f t="shared" si="3706"/>
        <v>44751</v>
      </c>
      <c r="C851" s="61"/>
      <c r="D851" s="17">
        <v>31114</v>
      </c>
      <c r="E851" s="16"/>
      <c r="F851" s="16"/>
      <c r="G851" s="16"/>
      <c r="H851" s="16">
        <f t="shared" ref="H851" si="4027">+H850+D851</f>
        <v>77148304</v>
      </c>
      <c r="I851" s="16"/>
      <c r="J851" s="436">
        <f t="shared" ref="J851" si="4028">+D851/H850</f>
        <v>4.0346387102538356E-4</v>
      </c>
      <c r="K851" s="16"/>
      <c r="L851" s="16"/>
      <c r="M851" s="16"/>
      <c r="N851" s="16">
        <f t="shared" ref="N851" si="4029">SUM(D845:D851)</f>
        <v>399611</v>
      </c>
      <c r="O851" s="16">
        <f t="shared" ref="O851" si="4030">+H851/BW851</f>
        <v>91625.064133016625</v>
      </c>
      <c r="P851" s="41"/>
      <c r="Q851" s="17">
        <f t="shared" ref="Q851" si="4031">SUM(D845:D851)</f>
        <v>399611</v>
      </c>
      <c r="R851" s="16"/>
      <c r="S851" s="60">
        <f t="shared" ref="S851" si="4032">+(Q851-Q844)/Q844</f>
        <v>-0.12250934339330964</v>
      </c>
      <c r="T851" s="16"/>
      <c r="U851" s="41"/>
      <c r="V851" s="10">
        <f t="shared" si="558"/>
        <v>743</v>
      </c>
      <c r="W851" s="34">
        <v>42</v>
      </c>
      <c r="X851" s="33">
        <v>4256</v>
      </c>
      <c r="Y851" s="33"/>
      <c r="Z851" s="33">
        <f t="shared" ref="Z851" si="4033">SUM(W846:W851)</f>
        <v>1194</v>
      </c>
      <c r="AA851" s="33">
        <f t="shared" ref="AA851" si="4034">+AA850+W851</f>
        <v>904722</v>
      </c>
      <c r="AB851" s="33"/>
      <c r="AC851" s="46">
        <f t="shared" ref="AC851" si="4035">+AA851/H851</f>
        <v>1.1727049761197601E-2</v>
      </c>
      <c r="AD851" s="33"/>
      <c r="AE851" s="33">
        <f t="shared" ref="AE851" si="4036">+AA851/BW851</f>
        <v>1074.4916864608076</v>
      </c>
      <c r="AF851" s="50"/>
      <c r="AG851" s="33"/>
      <c r="AH851" s="33"/>
      <c r="AI851" s="213"/>
      <c r="AJ851" s="50"/>
      <c r="AL851" s="23">
        <f t="shared" ref="AL851" si="4037">+AP851-AP850</f>
        <v>50696</v>
      </c>
      <c r="AM851" s="24"/>
      <c r="AN851" s="24"/>
      <c r="AO851" s="24">
        <v>178263</v>
      </c>
      <c r="AP851" s="24">
        <v>85766711</v>
      </c>
      <c r="AQ851" s="24">
        <v>20336656</v>
      </c>
      <c r="AR851" s="461">
        <f t="shared" ref="AR851" si="4038">+AL851/AP850</f>
        <v>5.9144140100306805E-4</v>
      </c>
      <c r="AS851" s="25"/>
      <c r="AT851" s="25"/>
      <c r="AU851" s="24"/>
      <c r="AV851" s="298">
        <f t="shared" ref="AV851" si="4039">+AP851/H851</f>
        <v>1.1117122030317088</v>
      </c>
      <c r="AW851" s="298"/>
      <c r="AX851" s="24">
        <f t="shared" ref="AX851" si="4040">+AP851/BW851</f>
        <v>101860.70190023753</v>
      </c>
      <c r="AY851" s="308"/>
      <c r="BA851" s="65">
        <f t="shared" ref="BA851" si="4041">+BC851-BC850</f>
        <v>164547</v>
      </c>
      <c r="BB851" s="66"/>
      <c r="BC851" s="66">
        <v>1056959080</v>
      </c>
      <c r="BD851" s="66"/>
      <c r="BE851" s="66">
        <f t="shared" ref="BE851" si="4042">+D851</f>
        <v>31114</v>
      </c>
      <c r="BF851" s="66"/>
      <c r="BG851" s="144">
        <f t="shared" ref="BG851" si="4043">+BE851/BA851</f>
        <v>0.18908883176235361</v>
      </c>
      <c r="BH851" s="66"/>
      <c r="BI851" s="170"/>
      <c r="BJ851" s="66"/>
      <c r="BK851" s="66"/>
      <c r="BL851" s="66"/>
      <c r="BM851" s="144"/>
      <c r="BN851" s="65">
        <f t="shared" ref="BN851" si="4044">+BC851/BW851</f>
        <v>1255295.8194774347</v>
      </c>
      <c r="BO851" s="66"/>
      <c r="BP851" s="66">
        <f t="shared" ref="BP851" si="4045">+BP850+BE851</f>
        <v>76241326</v>
      </c>
      <c r="BQ851" s="66"/>
      <c r="BR851" s="435">
        <f t="shared" ref="BR851" si="4046">+BP851/BC851</f>
        <v>7.2132713028019962E-2</v>
      </c>
      <c r="BS851" s="66"/>
      <c r="BT851" s="75"/>
      <c r="BU851" s="170"/>
      <c r="BV851" s="1"/>
      <c r="BW851" s="61">
        <f t="shared" si="1544"/>
        <v>842</v>
      </c>
      <c r="BY851" s="59"/>
    </row>
    <row r="852" spans="2:85" x14ac:dyDescent="0.3">
      <c r="B852" s="347">
        <f t="shared" si="3706"/>
        <v>44752</v>
      </c>
      <c r="C852" s="61"/>
      <c r="D852" s="17">
        <v>23939</v>
      </c>
      <c r="E852" s="16"/>
      <c r="F852" s="16"/>
      <c r="G852" s="16"/>
      <c r="H852" s="16">
        <f t="shared" ref="H852" si="4047">+H851+D852</f>
        <v>77172243</v>
      </c>
      <c r="I852" s="16"/>
      <c r="J852" s="436">
        <f t="shared" ref="J852" si="4048">+D852/H851</f>
        <v>3.102984610005166E-4</v>
      </c>
      <c r="K852" s="16"/>
      <c r="L852" s="16"/>
      <c r="M852" s="16"/>
      <c r="N852" s="16">
        <f t="shared" ref="N852" si="4049">SUM(D846:D852)</f>
        <v>413456</v>
      </c>
      <c r="O852" s="16">
        <f t="shared" ref="O852" si="4050">+H852/BW852</f>
        <v>91544.772241992876</v>
      </c>
      <c r="P852" s="41"/>
      <c r="Q852" s="17">
        <f t="shared" ref="Q852" si="4051">SUM(D846:D852)</f>
        <v>413456</v>
      </c>
      <c r="R852" s="16"/>
      <c r="S852" s="60">
        <f t="shared" ref="S852" si="4052">+(Q852-Q845)/Q845</f>
        <v>-7.1325730945551655E-2</v>
      </c>
      <c r="T852" s="16"/>
      <c r="U852" s="41"/>
      <c r="V852" s="10">
        <f t="shared" si="558"/>
        <v>744</v>
      </c>
      <c r="W852" s="34">
        <v>10</v>
      </c>
      <c r="X852" s="33">
        <v>4256</v>
      </c>
      <c r="Y852" s="33"/>
      <c r="Z852" s="33">
        <f t="shared" ref="Z852" si="4053">SUM(W847:W852)</f>
        <v>1166</v>
      </c>
      <c r="AA852" s="33">
        <f t="shared" ref="AA852" si="4054">+AA851+W852</f>
        <v>904732</v>
      </c>
      <c r="AB852" s="33"/>
      <c r="AC852" s="46">
        <f t="shared" ref="AC852" si="4055">+AA852/H852</f>
        <v>1.1723541584763839E-2</v>
      </c>
      <c r="AD852" s="33"/>
      <c r="AE852" s="33">
        <f t="shared" ref="AE852" si="4056">+AA852/BW852</f>
        <v>1073.2289442467379</v>
      </c>
      <c r="AF852" s="50"/>
      <c r="AG852" s="33"/>
      <c r="AH852" s="33"/>
      <c r="AI852" s="213"/>
      <c r="AJ852" s="50"/>
      <c r="AL852" s="23">
        <f t="shared" ref="AL852" si="4057">+AP852-AP851</f>
        <v>22847</v>
      </c>
      <c r="AM852" s="24"/>
      <c r="AN852" s="24"/>
      <c r="AO852" s="24">
        <v>178263</v>
      </c>
      <c r="AP852" s="24">
        <v>85789558</v>
      </c>
      <c r="AQ852" s="24">
        <v>20336656</v>
      </c>
      <c r="AR852" s="461">
        <f t="shared" ref="AR852" si="4058">+AL852/AP851</f>
        <v>2.6638540447237156E-4</v>
      </c>
      <c r="AS852" s="25"/>
      <c r="AT852" s="25"/>
      <c r="AU852" s="24"/>
      <c r="AV852" s="298">
        <f t="shared" ref="AV852" si="4059">+AP852/H852</f>
        <v>1.1116633994945566</v>
      </c>
      <c r="AW852" s="298"/>
      <c r="AX852" s="24">
        <f t="shared" ref="AX852" si="4060">+AP852/BW852</f>
        <v>101766.97271648873</v>
      </c>
      <c r="AY852" s="308"/>
      <c r="BA852" s="65">
        <f t="shared" ref="BA852" si="4061">+BC852-BC851</f>
        <v>150891</v>
      </c>
      <c r="BB852" s="66"/>
      <c r="BC852" s="66">
        <v>1057109971</v>
      </c>
      <c r="BD852" s="66"/>
      <c r="BE852" s="66">
        <f t="shared" ref="BE852" si="4062">+D852</f>
        <v>23939</v>
      </c>
      <c r="BF852" s="66"/>
      <c r="BG852" s="144">
        <f t="shared" ref="BG852" si="4063">+BE852/BA852</f>
        <v>0.15865094670987667</v>
      </c>
      <c r="BH852" s="66"/>
      <c r="BI852" s="170"/>
      <c r="BJ852" s="66"/>
      <c r="BK852" s="66"/>
      <c r="BL852" s="66"/>
      <c r="BM852" s="144"/>
      <c r="BN852" s="65">
        <f t="shared" ref="BN852" si="4064">+BC852/BW852</f>
        <v>1253985.7307236062</v>
      </c>
      <c r="BO852" s="66"/>
      <c r="BP852" s="66">
        <f t="shared" ref="BP852" si="4065">+BP851+BE852</f>
        <v>76265265</v>
      </c>
      <c r="BQ852" s="66"/>
      <c r="BR852" s="435">
        <f t="shared" ref="BR852" si="4066">+BP852/BC852</f>
        <v>7.2145062568897106E-2</v>
      </c>
      <c r="BS852" s="66"/>
      <c r="BT852" s="75"/>
      <c r="BU852" s="170"/>
      <c r="BV852" s="1"/>
      <c r="BW852" s="61">
        <f t="shared" si="1544"/>
        <v>843</v>
      </c>
      <c r="BY852" s="59"/>
    </row>
    <row r="853" spans="2:85" x14ac:dyDescent="0.3">
      <c r="B853" s="158">
        <f t="shared" si="3706"/>
        <v>44753</v>
      </c>
      <c r="C853" s="61"/>
      <c r="D853" s="17"/>
      <c r="E853" s="16"/>
      <c r="F853" s="16"/>
      <c r="G853" s="16"/>
      <c r="H853" s="16"/>
      <c r="I853" s="16"/>
      <c r="J853" s="436"/>
      <c r="K853" s="16"/>
      <c r="L853" s="16"/>
      <c r="M853" s="16"/>
      <c r="N853" s="16"/>
      <c r="O853" s="16"/>
      <c r="P853" s="41"/>
      <c r="Q853" s="410"/>
      <c r="R853" s="16"/>
      <c r="S853" s="60"/>
      <c r="T853" s="16"/>
      <c r="U853" s="41"/>
      <c r="V853" s="10"/>
      <c r="W853" s="34"/>
      <c r="X853" s="33"/>
      <c r="Y853" s="33"/>
      <c r="Z853" s="33"/>
      <c r="AA853" s="33"/>
      <c r="AB853" s="33"/>
      <c r="AC853" s="46"/>
      <c r="AD853" s="33"/>
      <c r="AE853" s="33"/>
      <c r="AF853" s="50"/>
      <c r="AG853" s="33"/>
      <c r="AH853" s="33"/>
      <c r="AI853" s="213"/>
      <c r="AJ853" s="50"/>
      <c r="AK853" s="10"/>
      <c r="AL853" s="23"/>
      <c r="AM853" s="24"/>
      <c r="AN853" s="24"/>
      <c r="AO853" s="24"/>
      <c r="AP853" s="24"/>
      <c r="AQ853" s="24"/>
      <c r="AR853" s="461"/>
      <c r="AS853" s="25"/>
      <c r="AT853" s="25"/>
      <c r="AU853" s="24"/>
      <c r="AV853" s="298"/>
      <c r="AW853" s="298"/>
      <c r="AX853" s="24"/>
      <c r="AY853" s="308"/>
      <c r="AZ853" s="10"/>
      <c r="BA853" s="65"/>
      <c r="BB853" s="66"/>
      <c r="BC853" s="66"/>
      <c r="BD853" s="66"/>
      <c r="BE853" s="66"/>
      <c r="BF853" s="66"/>
      <c r="BG853" s="144"/>
      <c r="BH853" s="66"/>
      <c r="BI853" s="170"/>
      <c r="BJ853" s="66"/>
      <c r="BK853" s="66"/>
      <c r="BL853" s="66"/>
      <c r="BM853" s="144"/>
      <c r="BN853" s="65"/>
      <c r="BO853" s="66"/>
      <c r="BP853" s="66"/>
      <c r="BQ853" s="66"/>
      <c r="BR853" s="435"/>
      <c r="BS853" s="66"/>
      <c r="BT853" s="75"/>
      <c r="BU853" s="170"/>
      <c r="BV853" s="1"/>
      <c r="BW853" s="61"/>
      <c r="BY853" s="59"/>
    </row>
    <row r="854" spans="2:85" x14ac:dyDescent="0.3">
      <c r="B854" s="158">
        <f t="shared" si="3706"/>
        <v>44754</v>
      </c>
      <c r="C854" s="61"/>
      <c r="D854" s="17"/>
      <c r="E854" s="16"/>
      <c r="F854" s="16"/>
      <c r="G854" s="16"/>
      <c r="H854" s="16"/>
      <c r="I854" s="16"/>
      <c r="J854" s="436"/>
      <c r="K854" s="16"/>
      <c r="L854" s="16"/>
      <c r="M854" s="16"/>
      <c r="N854" s="16"/>
      <c r="O854" s="16"/>
      <c r="P854" s="41"/>
      <c r="Q854" s="410"/>
      <c r="R854" s="16"/>
      <c r="S854" s="60"/>
      <c r="T854" s="16"/>
      <c r="U854" s="41"/>
      <c r="V854" s="10"/>
      <c r="W854" s="34"/>
      <c r="X854" s="33"/>
      <c r="Y854" s="33"/>
      <c r="Z854" s="33"/>
      <c r="AA854" s="33"/>
      <c r="AB854" s="33"/>
      <c r="AC854" s="46"/>
      <c r="AD854" s="33"/>
      <c r="AE854" s="33"/>
      <c r="AF854" s="50"/>
      <c r="AG854" s="33"/>
      <c r="AH854" s="33"/>
      <c r="AI854" s="213"/>
      <c r="AJ854" s="50"/>
      <c r="AK854" s="10"/>
      <c r="AL854" s="23"/>
      <c r="AM854" s="24"/>
      <c r="AN854" s="24"/>
      <c r="AO854" s="24"/>
      <c r="AP854" s="24"/>
      <c r="AQ854" s="24"/>
      <c r="AR854" s="461"/>
      <c r="AS854" s="25"/>
      <c r="AT854" s="25"/>
      <c r="AU854" s="24"/>
      <c r="AV854" s="298"/>
      <c r="AW854" s="298"/>
      <c r="AX854" s="24"/>
      <c r="AY854" s="308"/>
      <c r="AZ854" s="10"/>
      <c r="BA854" s="65"/>
      <c r="BB854" s="66"/>
      <c r="BC854" s="66"/>
      <c r="BD854" s="66"/>
      <c r="BE854" s="66"/>
      <c r="BF854" s="66"/>
      <c r="BG854" s="144"/>
      <c r="BH854" s="66"/>
      <c r="BI854" s="170"/>
      <c r="BJ854" s="66"/>
      <c r="BK854" s="66"/>
      <c r="BL854" s="66"/>
      <c r="BM854" s="144"/>
      <c r="BN854" s="65"/>
      <c r="BO854" s="66"/>
      <c r="BP854" s="66"/>
      <c r="BQ854" s="66"/>
      <c r="BR854" s="435"/>
      <c r="BS854" s="66"/>
      <c r="BT854" s="75"/>
      <c r="BU854" s="170"/>
      <c r="BV854" s="1"/>
      <c r="BW854" s="61"/>
      <c r="BY854" s="59"/>
    </row>
    <row r="855" spans="2:85" x14ac:dyDescent="0.3">
      <c r="B855" s="158">
        <f t="shared" si="3706"/>
        <v>44755</v>
      </c>
      <c r="C855" s="61"/>
      <c r="D855" s="17"/>
      <c r="E855" s="16"/>
      <c r="F855" s="16"/>
      <c r="G855" s="16"/>
      <c r="H855" s="16"/>
      <c r="I855" s="16"/>
      <c r="J855" s="436"/>
      <c r="K855" s="16"/>
      <c r="L855" s="16"/>
      <c r="M855" s="16"/>
      <c r="N855" s="16"/>
      <c r="O855" s="16"/>
      <c r="P855" s="41"/>
      <c r="Q855" s="410"/>
      <c r="R855" s="16"/>
      <c r="S855" s="60"/>
      <c r="T855" s="16"/>
      <c r="U855" s="41"/>
      <c r="V855" s="10"/>
      <c r="W855" s="34"/>
      <c r="X855" s="33"/>
      <c r="Y855" s="33"/>
      <c r="Z855" s="33"/>
      <c r="AA855" s="33"/>
      <c r="AB855" s="33"/>
      <c r="AC855" s="46"/>
      <c r="AD855" s="33"/>
      <c r="AE855" s="33"/>
      <c r="AF855" s="50"/>
      <c r="AG855" s="33"/>
      <c r="AH855" s="33"/>
      <c r="AI855" s="213"/>
      <c r="AJ855" s="50"/>
      <c r="AK855" s="10"/>
      <c r="AL855" s="23"/>
      <c r="AM855" s="24"/>
      <c r="AN855" s="24"/>
      <c r="AO855" s="24"/>
      <c r="AP855" s="24"/>
      <c r="AQ855" s="24"/>
      <c r="AR855" s="461"/>
      <c r="AS855" s="25"/>
      <c r="AT855" s="25"/>
      <c r="AU855" s="24"/>
      <c r="AV855" s="298"/>
      <c r="AW855" s="298"/>
      <c r="AX855" s="24"/>
      <c r="AY855" s="308"/>
      <c r="AZ855" s="10"/>
      <c r="BA855" s="65"/>
      <c r="BB855" s="66"/>
      <c r="BC855" s="66"/>
      <c r="BD855" s="66"/>
      <c r="BE855" s="66"/>
      <c r="BF855" s="66"/>
      <c r="BG855" s="144"/>
      <c r="BH855" s="66"/>
      <c r="BI855" s="170"/>
      <c r="BJ855" s="66"/>
      <c r="BK855" s="66"/>
      <c r="BL855" s="66"/>
      <c r="BM855" s="144"/>
      <c r="BN855" s="65"/>
      <c r="BO855" s="66"/>
      <c r="BP855" s="66"/>
      <c r="BQ855" s="66"/>
      <c r="BR855" s="435"/>
      <c r="BS855" s="66"/>
      <c r="BT855" s="75"/>
      <c r="BU855" s="170"/>
      <c r="BV855" s="1"/>
      <c r="BW855" s="61"/>
      <c r="BY855" s="59"/>
    </row>
    <row r="856" spans="2:85" x14ac:dyDescent="0.3">
      <c r="B856" s="158">
        <f t="shared" si="3706"/>
        <v>44756</v>
      </c>
      <c r="D856" s="559"/>
      <c r="E856" s="19"/>
      <c r="F856" s="19"/>
      <c r="G856" s="19"/>
      <c r="H856" s="19"/>
      <c r="I856" s="19"/>
      <c r="J856" s="39"/>
      <c r="K856" s="19"/>
      <c r="L856" s="19"/>
      <c r="M856" s="19"/>
      <c r="N856" s="19"/>
      <c r="O856" s="19"/>
      <c r="P856" s="43"/>
      <c r="Q856" s="18"/>
      <c r="R856" s="19"/>
      <c r="S856" s="19"/>
      <c r="T856" s="19"/>
      <c r="U856" s="43"/>
      <c r="V856" s="1"/>
      <c r="W856" s="35"/>
      <c r="X856" s="36"/>
      <c r="Y856" s="36"/>
      <c r="Z856" s="36"/>
      <c r="AA856" s="36"/>
      <c r="AB856" s="36"/>
      <c r="AC856" s="47"/>
      <c r="AD856" s="36"/>
      <c r="AE856" s="36"/>
      <c r="AF856" s="51"/>
      <c r="AG856" s="36"/>
      <c r="AH856" s="36"/>
      <c r="AI856" s="36"/>
      <c r="AJ856" s="51"/>
      <c r="AK856" s="1"/>
      <c r="AL856" s="26"/>
      <c r="AM856" s="27"/>
      <c r="AN856" s="27"/>
      <c r="AO856" s="27"/>
      <c r="AP856" s="27"/>
      <c r="AQ856" s="27"/>
      <c r="AR856" s="27"/>
      <c r="AS856" s="27"/>
      <c r="AT856" s="27"/>
      <c r="AU856" s="27"/>
      <c r="AV856" s="300"/>
      <c r="AW856" s="300"/>
      <c r="AX856" s="27"/>
      <c r="AY856" s="307"/>
      <c r="AZ856" s="1"/>
      <c r="BA856" s="67"/>
      <c r="BB856" s="68"/>
      <c r="BC856" s="68"/>
      <c r="BD856" s="68"/>
      <c r="BE856" s="68"/>
      <c r="BF856" s="68"/>
      <c r="BG856" s="68"/>
      <c r="BH856" s="68"/>
      <c r="BI856" s="171"/>
      <c r="BJ856" s="68"/>
      <c r="BK856" s="68"/>
      <c r="BL856" s="68"/>
      <c r="BM856" s="68"/>
      <c r="BN856" s="67"/>
      <c r="BO856" s="68"/>
      <c r="BP856" s="68"/>
      <c r="BQ856" s="68"/>
      <c r="BR856" s="70"/>
      <c r="BS856" s="68"/>
      <c r="BT856" s="68"/>
      <c r="BU856" s="171"/>
      <c r="BV856" s="1"/>
      <c r="BW856" s="61">
        <f>+BW832+1</f>
        <v>824</v>
      </c>
    </row>
    <row r="857" spans="2:85" x14ac:dyDescent="0.3">
      <c r="B857" s="56"/>
      <c r="D857" s="1"/>
      <c r="E857" s="1"/>
      <c r="F857" s="1"/>
      <c r="G857" s="1"/>
      <c r="H857" s="59"/>
      <c r="I857" s="1"/>
      <c r="J857" s="59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59"/>
      <c r="X857" s="1"/>
      <c r="Y857" s="1"/>
      <c r="Z857" s="1"/>
      <c r="AA857" s="1"/>
      <c r="AB857" s="1"/>
      <c r="AC857" s="59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59"/>
      <c r="BD857" s="1"/>
      <c r="BE857" s="59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</row>
    <row r="858" spans="2:85" x14ac:dyDescent="0.3">
      <c r="B858" s="166" t="s">
        <v>74</v>
      </c>
      <c r="D858" s="56">
        <f>+D852</f>
        <v>23939</v>
      </c>
      <c r="E858" s="56">
        <f>+E238</f>
        <v>0</v>
      </c>
      <c r="F858" s="56">
        <f>+F238</f>
        <v>0</v>
      </c>
      <c r="G858" s="56">
        <f>+G238</f>
        <v>0</v>
      </c>
      <c r="H858" s="56">
        <f t="shared" ref="H858:BP858" si="4067">+H852</f>
        <v>77172243</v>
      </c>
      <c r="I858" s="56">
        <f t="shared" si="4067"/>
        <v>0</v>
      </c>
      <c r="J858" s="56">
        <f t="shared" si="4067"/>
        <v>3.102984610005166E-4</v>
      </c>
      <c r="K858" s="56">
        <f t="shared" si="4067"/>
        <v>0</v>
      </c>
      <c r="L858" s="56">
        <f t="shared" si="4067"/>
        <v>0</v>
      </c>
      <c r="M858" s="56">
        <f t="shared" si="4067"/>
        <v>0</v>
      </c>
      <c r="N858" s="56">
        <f t="shared" si="4067"/>
        <v>413456</v>
      </c>
      <c r="O858" s="56">
        <f t="shared" si="4067"/>
        <v>91544.772241992876</v>
      </c>
      <c r="P858" s="56">
        <f t="shared" si="4067"/>
        <v>0</v>
      </c>
      <c r="Q858" s="56">
        <f t="shared" si="4067"/>
        <v>413456</v>
      </c>
      <c r="R858" s="56">
        <f t="shared" si="4067"/>
        <v>0</v>
      </c>
      <c r="S858" s="56">
        <f t="shared" si="4067"/>
        <v>-7.1325730945551655E-2</v>
      </c>
      <c r="T858" s="56">
        <f t="shared" si="4067"/>
        <v>0</v>
      </c>
      <c r="U858" s="56">
        <f t="shared" si="4067"/>
        <v>0</v>
      </c>
      <c r="V858" s="56">
        <f t="shared" si="4067"/>
        <v>744</v>
      </c>
      <c r="W858" s="56">
        <f t="shared" si="4067"/>
        <v>10</v>
      </c>
      <c r="X858" s="56">
        <f t="shared" si="4067"/>
        <v>4256</v>
      </c>
      <c r="Y858" s="56">
        <f t="shared" si="4067"/>
        <v>0</v>
      </c>
      <c r="Z858" s="56">
        <f t="shared" si="4067"/>
        <v>1166</v>
      </c>
      <c r="AA858" s="56">
        <f t="shared" si="4067"/>
        <v>904732</v>
      </c>
      <c r="AB858" s="56">
        <f t="shared" si="4067"/>
        <v>0</v>
      </c>
      <c r="AC858" s="56">
        <f t="shared" si="4067"/>
        <v>1.1723541584763839E-2</v>
      </c>
      <c r="AD858" s="56">
        <f t="shared" si="4067"/>
        <v>0</v>
      </c>
      <c r="AE858" s="56">
        <f t="shared" si="4067"/>
        <v>1073.2289442467379</v>
      </c>
      <c r="AF858" s="56">
        <f t="shared" si="4067"/>
        <v>0</v>
      </c>
      <c r="AG858" s="56">
        <f t="shared" si="4067"/>
        <v>0</v>
      </c>
      <c r="AH858" s="56">
        <f t="shared" si="4067"/>
        <v>0</v>
      </c>
      <c r="AI858" s="56">
        <f t="shared" si="4067"/>
        <v>0</v>
      </c>
      <c r="AJ858" s="56">
        <f t="shared" si="4067"/>
        <v>0</v>
      </c>
      <c r="AK858" s="56">
        <f t="shared" si="4067"/>
        <v>0</v>
      </c>
      <c r="AL858" s="56">
        <f t="shared" si="4067"/>
        <v>22847</v>
      </c>
      <c r="AM858" s="56">
        <f t="shared" si="4067"/>
        <v>0</v>
      </c>
      <c r="AN858" s="56">
        <f t="shared" si="4067"/>
        <v>0</v>
      </c>
      <c r="AO858" s="56">
        <f t="shared" si="4067"/>
        <v>178263</v>
      </c>
      <c r="AP858" s="56">
        <f t="shared" si="4067"/>
        <v>85789558</v>
      </c>
      <c r="AQ858" s="56">
        <f t="shared" si="4067"/>
        <v>20336656</v>
      </c>
      <c r="AR858" s="56">
        <f t="shared" si="4067"/>
        <v>2.6638540447237156E-4</v>
      </c>
      <c r="AS858" s="56">
        <f t="shared" si="4067"/>
        <v>0</v>
      </c>
      <c r="AT858" s="56">
        <f t="shared" si="4067"/>
        <v>0</v>
      </c>
      <c r="AU858" s="56">
        <f t="shared" si="4067"/>
        <v>0</v>
      </c>
      <c r="AV858" s="56">
        <f t="shared" si="4067"/>
        <v>1.1116633994945566</v>
      </c>
      <c r="AW858" s="56">
        <f t="shared" si="4067"/>
        <v>0</v>
      </c>
      <c r="AX858" s="56">
        <f t="shared" si="4067"/>
        <v>101766.97271648873</v>
      </c>
      <c r="AY858" s="56">
        <f t="shared" si="4067"/>
        <v>0</v>
      </c>
      <c r="AZ858" s="56">
        <f t="shared" si="4067"/>
        <v>0</v>
      </c>
      <c r="BA858" s="56">
        <f t="shared" si="4067"/>
        <v>150891</v>
      </c>
      <c r="BB858" s="56">
        <f t="shared" si="4067"/>
        <v>0</v>
      </c>
      <c r="BC858" s="56">
        <f t="shared" si="4067"/>
        <v>1057109971</v>
      </c>
      <c r="BD858" s="56">
        <f t="shared" si="4067"/>
        <v>0</v>
      </c>
      <c r="BE858" s="56">
        <f t="shared" si="4067"/>
        <v>23939</v>
      </c>
      <c r="BF858" s="56">
        <f t="shared" si="4067"/>
        <v>0</v>
      </c>
      <c r="BG858" s="56">
        <f t="shared" si="4067"/>
        <v>0.15865094670987667</v>
      </c>
      <c r="BH858" s="56">
        <f t="shared" si="4067"/>
        <v>0</v>
      </c>
      <c r="BI858" s="56">
        <f t="shared" si="4067"/>
        <v>0</v>
      </c>
      <c r="BJ858" s="56">
        <f t="shared" si="4067"/>
        <v>0</v>
      </c>
      <c r="BK858" s="56">
        <f t="shared" si="4067"/>
        <v>0</v>
      </c>
      <c r="BL858" s="56">
        <f t="shared" si="4067"/>
        <v>0</v>
      </c>
      <c r="BM858" s="56">
        <f t="shared" si="4067"/>
        <v>0</v>
      </c>
      <c r="BN858" s="56">
        <f t="shared" si="4067"/>
        <v>1253985.7307236062</v>
      </c>
      <c r="BO858" s="56">
        <f t="shared" si="4067"/>
        <v>0</v>
      </c>
      <c r="BP858" s="56">
        <f t="shared" si="4067"/>
        <v>76265265</v>
      </c>
      <c r="BQ858" s="56">
        <f t="shared" ref="BQ858" si="4068">+BQ731</f>
        <v>0</v>
      </c>
      <c r="BR858" s="56"/>
      <c r="BS858" s="56"/>
      <c r="BT858" s="56"/>
      <c r="BU858" s="56">
        <f>+BU509</f>
        <v>0</v>
      </c>
      <c r="BV858" s="56">
        <f>+BV505</f>
        <v>0</v>
      </c>
      <c r="BW858" s="56"/>
      <c r="BX858" s="56"/>
      <c r="BY858" s="56"/>
      <c r="BZ858" s="56"/>
      <c r="CA858" s="56"/>
      <c r="CB858" s="56"/>
      <c r="CC858" s="56"/>
      <c r="CD858" s="56"/>
      <c r="CE858" s="61"/>
      <c r="CF858" s="61"/>
      <c r="CG858" s="145"/>
    </row>
    <row r="859" spans="2:85" x14ac:dyDescent="0.3">
      <c r="B859" t="s">
        <v>105</v>
      </c>
      <c r="D859" s="56">
        <f>+D851-D858</f>
        <v>7175</v>
      </c>
      <c r="E859" s="56">
        <f>+E237-E858</f>
        <v>0</v>
      </c>
      <c r="F859" s="56">
        <f>+F237-F858</f>
        <v>0</v>
      </c>
      <c r="G859" s="56">
        <f>+G237-G858</f>
        <v>0</v>
      </c>
      <c r="H859" s="56">
        <f t="shared" ref="H859:BP859" si="4069">+H851-H858</f>
        <v>-23939</v>
      </c>
      <c r="I859" s="56">
        <f t="shared" si="4069"/>
        <v>0</v>
      </c>
      <c r="J859" s="56">
        <f t="shared" si="4069"/>
        <v>9.3165410024866958E-5</v>
      </c>
      <c r="K859" s="56">
        <f t="shared" si="4069"/>
        <v>0</v>
      </c>
      <c r="L859" s="56">
        <f t="shared" si="4069"/>
        <v>0</v>
      </c>
      <c r="M859" s="56">
        <f t="shared" si="4069"/>
        <v>0</v>
      </c>
      <c r="N859" s="56">
        <f t="shared" si="4069"/>
        <v>-13845</v>
      </c>
      <c r="O859" s="56">
        <f t="shared" si="4069"/>
        <v>80.291891023749486</v>
      </c>
      <c r="P859" s="56">
        <f t="shared" si="4069"/>
        <v>0</v>
      </c>
      <c r="Q859" s="56">
        <f t="shared" si="4069"/>
        <v>-13845</v>
      </c>
      <c r="R859" s="56">
        <f t="shared" si="4069"/>
        <v>0</v>
      </c>
      <c r="S859" s="56">
        <f t="shared" si="4069"/>
        <v>-5.1183612447757987E-2</v>
      </c>
      <c r="T859" s="56">
        <f t="shared" si="4069"/>
        <v>0</v>
      </c>
      <c r="U859" s="56">
        <f t="shared" si="4069"/>
        <v>0</v>
      </c>
      <c r="V859" s="56">
        <f t="shared" si="4069"/>
        <v>-1</v>
      </c>
      <c r="W859" s="56">
        <f t="shared" si="4069"/>
        <v>32</v>
      </c>
      <c r="X859" s="56">
        <f t="shared" si="4069"/>
        <v>0</v>
      </c>
      <c r="Y859" s="56">
        <f t="shared" si="4069"/>
        <v>0</v>
      </c>
      <c r="Z859" s="56">
        <f t="shared" si="4069"/>
        <v>28</v>
      </c>
      <c r="AA859" s="56">
        <f t="shared" si="4069"/>
        <v>-10</v>
      </c>
      <c r="AB859" s="56">
        <f t="shared" si="4069"/>
        <v>0</v>
      </c>
      <c r="AC859" s="56">
        <f t="shared" si="4069"/>
        <v>3.5081764337627219E-6</v>
      </c>
      <c r="AD859" s="56">
        <f t="shared" si="4069"/>
        <v>0</v>
      </c>
      <c r="AE859" s="56">
        <f t="shared" si="4069"/>
        <v>1.2627422140697036</v>
      </c>
      <c r="AF859" s="56">
        <f t="shared" si="4069"/>
        <v>0</v>
      </c>
      <c r="AG859" s="56">
        <f t="shared" si="4069"/>
        <v>0</v>
      </c>
      <c r="AH859" s="56">
        <f t="shared" si="4069"/>
        <v>0</v>
      </c>
      <c r="AI859" s="56">
        <f t="shared" si="4069"/>
        <v>0</v>
      </c>
      <c r="AJ859" s="56">
        <f t="shared" si="4069"/>
        <v>0</v>
      </c>
      <c r="AK859" s="56">
        <f t="shared" si="4069"/>
        <v>0</v>
      </c>
      <c r="AL859" s="56">
        <f t="shared" si="4069"/>
        <v>27849</v>
      </c>
      <c r="AM859" s="56">
        <f t="shared" si="4069"/>
        <v>0</v>
      </c>
      <c r="AN859" s="56">
        <f t="shared" si="4069"/>
        <v>0</v>
      </c>
      <c r="AO859" s="56">
        <f t="shared" si="4069"/>
        <v>0</v>
      </c>
      <c r="AP859" s="56">
        <f t="shared" si="4069"/>
        <v>-22847</v>
      </c>
      <c r="AQ859" s="56">
        <f t="shared" si="4069"/>
        <v>0</v>
      </c>
      <c r="AR859" s="56">
        <f t="shared" si="4069"/>
        <v>3.2505599653069649E-4</v>
      </c>
      <c r="AS859" s="56">
        <f t="shared" si="4069"/>
        <v>0</v>
      </c>
      <c r="AT859" s="56">
        <f t="shared" si="4069"/>
        <v>0</v>
      </c>
      <c r="AU859" s="56">
        <f t="shared" si="4069"/>
        <v>0</v>
      </c>
      <c r="AV859" s="56">
        <f t="shared" si="4069"/>
        <v>4.8803537152197762E-5</v>
      </c>
      <c r="AW859" s="56">
        <f t="shared" si="4069"/>
        <v>0</v>
      </c>
      <c r="AX859" s="56">
        <f t="shared" si="4069"/>
        <v>93.729183748801006</v>
      </c>
      <c r="AY859" s="56">
        <f t="shared" si="4069"/>
        <v>0</v>
      </c>
      <c r="AZ859" s="56">
        <f t="shared" si="4069"/>
        <v>0</v>
      </c>
      <c r="BA859" s="56">
        <f t="shared" si="4069"/>
        <v>13656</v>
      </c>
      <c r="BB859" s="56">
        <f t="shared" si="4069"/>
        <v>0</v>
      </c>
      <c r="BC859" s="56">
        <f t="shared" si="4069"/>
        <v>-150891</v>
      </c>
      <c r="BD859" s="56">
        <f t="shared" si="4069"/>
        <v>0</v>
      </c>
      <c r="BE859" s="56">
        <f t="shared" si="4069"/>
        <v>7175</v>
      </c>
      <c r="BF859" s="56">
        <f t="shared" si="4069"/>
        <v>0</v>
      </c>
      <c r="BG859" s="56">
        <f t="shared" si="4069"/>
        <v>3.0437885052476937E-2</v>
      </c>
      <c r="BH859" s="56">
        <f t="shared" si="4069"/>
        <v>0</v>
      </c>
      <c r="BI859" s="56">
        <f t="shared" si="4069"/>
        <v>0</v>
      </c>
      <c r="BJ859" s="56">
        <f t="shared" si="4069"/>
        <v>0</v>
      </c>
      <c r="BK859" s="56">
        <f t="shared" si="4069"/>
        <v>0</v>
      </c>
      <c r="BL859" s="56">
        <f t="shared" si="4069"/>
        <v>0</v>
      </c>
      <c r="BM859" s="56">
        <f t="shared" si="4069"/>
        <v>0</v>
      </c>
      <c r="BN859" s="56">
        <f t="shared" si="4069"/>
        <v>1310.088753828546</v>
      </c>
      <c r="BO859" s="56">
        <f t="shared" si="4069"/>
        <v>0</v>
      </c>
      <c r="BP859" s="56">
        <f t="shared" si="4069"/>
        <v>-23939</v>
      </c>
      <c r="BQ859" s="56">
        <f t="shared" ref="BQ859" si="4070">+BQ730-BQ858</f>
        <v>0</v>
      </c>
      <c r="BR859" s="56"/>
      <c r="BS859" s="56"/>
      <c r="BT859" s="56"/>
      <c r="BU859" s="56">
        <f>+BU508-BU858</f>
        <v>0</v>
      </c>
      <c r="BV859" s="56">
        <f>+BV504-BV858</f>
        <v>0</v>
      </c>
      <c r="BW859" s="56"/>
      <c r="BX859" s="56"/>
      <c r="BY859" s="56"/>
      <c r="BZ859" s="56"/>
      <c r="CA859" s="56"/>
      <c r="CB859" s="56"/>
      <c r="CC859" s="56"/>
      <c r="CD859" s="56"/>
      <c r="CE859" s="61"/>
      <c r="CF859" s="61"/>
      <c r="CG859" s="105"/>
    </row>
    <row r="860" spans="2:85" x14ac:dyDescent="0.3">
      <c r="B860" s="56"/>
      <c r="D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10"/>
      <c r="BT860" s="10"/>
      <c r="BU860" s="10"/>
      <c r="BV860" s="10"/>
      <c r="BW860" s="10"/>
      <c r="BX860" s="10"/>
      <c r="BY860" s="10"/>
      <c r="BZ860" s="10"/>
      <c r="CA860" s="10"/>
      <c r="CB860" s="61"/>
      <c r="CC860" s="105"/>
      <c r="CD860" s="105"/>
      <c r="CE860" s="105"/>
      <c r="CF860" s="105"/>
    </row>
    <row r="861" spans="2:85" x14ac:dyDescent="0.3">
      <c r="B861" s="56"/>
      <c r="D861" s="56"/>
      <c r="H861" s="1"/>
      <c r="N861" s="145"/>
      <c r="O861" s="1"/>
      <c r="W861" s="56"/>
      <c r="AA861" s="59"/>
      <c r="BA861" s="59"/>
      <c r="BC861" s="56"/>
      <c r="BE861" s="59"/>
      <c r="BJ861" s="61"/>
      <c r="BK861" s="10">
        <f>+BK187</f>
        <v>4928581</v>
      </c>
      <c r="BL861" s="61"/>
      <c r="BM861" s="61"/>
      <c r="BN861" s="61"/>
      <c r="BO861" s="61"/>
      <c r="BP861" s="61"/>
      <c r="BQ861" s="61"/>
      <c r="BR861" s="61"/>
      <c r="BS861" s="10"/>
      <c r="BT861" s="10"/>
    </row>
    <row r="862" spans="2:85" x14ac:dyDescent="0.3">
      <c r="B862" s="56"/>
      <c r="D862" s="56"/>
      <c r="H862" s="56"/>
      <c r="N862" s="59"/>
      <c r="W862" s="56"/>
      <c r="AA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56"/>
      <c r="AU862" t="s">
        <v>161</v>
      </c>
      <c r="BC862" s="56"/>
      <c r="BE862" s="59"/>
      <c r="BH862" s="96"/>
      <c r="BI862" s="96"/>
      <c r="BJ862" s="96"/>
      <c r="BK862" s="493"/>
      <c r="BL862" s="96"/>
      <c r="BM862" s="96"/>
      <c r="BN862" s="96"/>
      <c r="BO862" s="96"/>
      <c r="BP862" s="96"/>
      <c r="BQ862" s="96"/>
      <c r="BR862" s="78"/>
      <c r="BS862" s="1"/>
      <c r="BT862" s="1"/>
    </row>
    <row r="863" spans="2:85" x14ac:dyDescent="0.3">
      <c r="D863" s="1"/>
      <c r="E863" s="111" t="s">
        <v>26</v>
      </c>
      <c r="F863" s="112"/>
      <c r="H863" s="112" t="s">
        <v>59</v>
      </c>
      <c r="I863" s="104"/>
      <c r="J863" s="104"/>
      <c r="K863" s="61"/>
      <c r="L863" s="10"/>
      <c r="W863" s="56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BA863" s="56"/>
      <c r="BC863" s="56"/>
      <c r="BE863" s="56"/>
      <c r="BG863" s="231"/>
      <c r="BH863" s="96"/>
      <c r="BI863" s="96"/>
      <c r="BJ863" s="96"/>
      <c r="BK863" s="493">
        <f>+BK194-BK858</f>
        <v>5763109</v>
      </c>
      <c r="BL863" s="96"/>
      <c r="BM863" s="96"/>
      <c r="BN863" s="96"/>
      <c r="BO863" s="96"/>
      <c r="BP863" s="96"/>
      <c r="BQ863" s="96"/>
      <c r="BR863" s="78"/>
      <c r="BS863" s="1"/>
      <c r="BT863" s="1"/>
    </row>
    <row r="864" spans="2:85" x14ac:dyDescent="0.3">
      <c r="B864" s="56"/>
      <c r="D864" s="1"/>
      <c r="E864" s="111" t="s">
        <v>38</v>
      </c>
      <c r="F864" s="112"/>
      <c r="H864" s="112" t="s">
        <v>40</v>
      </c>
      <c r="I864" s="10"/>
      <c r="J864" s="10"/>
      <c r="K864" s="61"/>
      <c r="L864" s="10"/>
      <c r="AD864" s="1"/>
      <c r="AE864" s="1"/>
      <c r="AF864" s="1"/>
      <c r="AG864" s="1"/>
      <c r="AH864" s="1"/>
      <c r="AI864" s="1">
        <f>SUM(W213:W243)</f>
        <v>25465</v>
      </c>
      <c r="AJ864" s="1"/>
      <c r="AK864" s="1"/>
      <c r="AL864" s="1" t="s">
        <v>17</v>
      </c>
      <c r="AM864" s="1"/>
      <c r="AN864" s="1"/>
      <c r="AO864" s="1"/>
      <c r="BC864" s="56"/>
      <c r="BE864" s="59"/>
      <c r="BH864" s="97"/>
      <c r="BI864" s="97"/>
      <c r="BJ864" s="97"/>
      <c r="BK864" s="493">
        <f>+BK187-BK858</f>
        <v>4928581</v>
      </c>
      <c r="BL864" s="97"/>
      <c r="BM864" s="97"/>
      <c r="BN864" s="97"/>
      <c r="BO864" s="97"/>
      <c r="BP864" s="97"/>
      <c r="BQ864" s="97"/>
      <c r="BR864" s="78"/>
      <c r="BS864" s="1"/>
      <c r="BT864" s="1"/>
    </row>
    <row r="865" spans="2:72" x14ac:dyDescent="0.3">
      <c r="B865" s="231"/>
      <c r="D865" s="1"/>
      <c r="E865" s="111" t="s">
        <v>45</v>
      </c>
      <c r="F865" s="112"/>
      <c r="H865" s="112" t="s">
        <v>55</v>
      </c>
      <c r="I865" s="10"/>
      <c r="J865" s="10"/>
      <c r="K865" s="61"/>
      <c r="L865" s="10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BC865" s="56"/>
      <c r="BE865" s="59"/>
      <c r="BH865" s="97"/>
      <c r="BI865" s="97"/>
      <c r="BJ865" s="97"/>
      <c r="BK865" s="493"/>
      <c r="BL865" s="97"/>
      <c r="BM865" s="97"/>
      <c r="BN865" s="97"/>
      <c r="BO865" s="97"/>
      <c r="BP865" s="97"/>
      <c r="BQ865" s="97"/>
      <c r="BR865" s="78"/>
      <c r="BS865" s="1"/>
      <c r="BT865" s="1"/>
    </row>
    <row r="866" spans="2:72" x14ac:dyDescent="0.3">
      <c r="D866" s="1"/>
      <c r="E866" s="111" t="s">
        <v>60</v>
      </c>
      <c r="F866" s="61"/>
      <c r="H866" s="81" t="s">
        <v>135</v>
      </c>
      <c r="I866" s="61"/>
      <c r="J866" s="61"/>
      <c r="K866" s="61"/>
      <c r="L866" s="6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BH866" s="97"/>
      <c r="BI866" s="97"/>
      <c r="BJ866" s="97"/>
      <c r="BK866" s="496"/>
      <c r="BL866" s="97"/>
      <c r="BM866" s="97"/>
      <c r="BN866" s="97"/>
      <c r="BO866" s="97"/>
      <c r="BP866" s="97"/>
      <c r="BQ866" s="97"/>
      <c r="BR866" s="78"/>
      <c r="BS866" s="1"/>
      <c r="BT866" s="1"/>
    </row>
    <row r="867" spans="2:72" x14ac:dyDescent="0.3">
      <c r="E867" s="111" t="s">
        <v>136</v>
      </c>
      <c r="H867" s="81" t="s">
        <v>137</v>
      </c>
      <c r="AD867" s="1"/>
      <c r="AE867" s="1"/>
      <c r="AF867" s="1"/>
      <c r="AG867" s="1"/>
      <c r="AH867" s="1"/>
      <c r="AI867" s="1"/>
      <c r="BD867" s="78"/>
      <c r="BE867" s="78"/>
      <c r="BF867" s="78"/>
      <c r="BG867" s="78"/>
      <c r="BH867" s="78"/>
      <c r="BI867" s="78"/>
      <c r="BJ867" s="78"/>
      <c r="BK867" s="494"/>
      <c r="BL867" s="78"/>
      <c r="BM867" s="78"/>
      <c r="BN867" s="78"/>
      <c r="BO867" s="78"/>
      <c r="BP867" s="78"/>
      <c r="BQ867" s="78"/>
      <c r="BR867" s="78"/>
      <c r="BS867" s="1"/>
      <c r="BT867" s="1"/>
    </row>
    <row r="868" spans="2:72" x14ac:dyDescent="0.3">
      <c r="B868" s="56"/>
      <c r="AD868" s="1"/>
      <c r="AE868" s="1"/>
      <c r="AF868" s="1"/>
      <c r="AG868" s="1"/>
      <c r="AH868" s="1"/>
      <c r="AI868" s="1"/>
      <c r="BA868" s="545"/>
      <c r="BK868" s="495"/>
    </row>
    <row r="869" spans="2:72" ht="15" thickBot="1" x14ac:dyDescent="0.35">
      <c r="D869" s="56"/>
      <c r="AD869" s="1"/>
      <c r="AE869" s="507"/>
      <c r="AF869" s="547"/>
      <c r="AG869" s="507"/>
      <c r="AH869" s="507"/>
      <c r="AI869" s="507"/>
      <c r="AJ869" s="500"/>
      <c r="AK869" s="500"/>
      <c r="AL869" s="500"/>
      <c r="AM869" s="500"/>
      <c r="AN869" s="500"/>
      <c r="AO869" s="500"/>
      <c r="AP869" s="500"/>
      <c r="AQ869" s="500"/>
      <c r="AR869" s="500"/>
      <c r="AS869" s="500"/>
      <c r="AT869" s="500"/>
      <c r="AU869" s="500"/>
      <c r="AV869" s="500"/>
      <c r="AW869" s="500"/>
      <c r="AX869" s="500"/>
      <c r="AZ869" s="106"/>
      <c r="BA869" s="106"/>
      <c r="BB869" s="106"/>
      <c r="BC869" s="106"/>
      <c r="BK869" s="1"/>
    </row>
    <row r="870" spans="2:72" x14ac:dyDescent="0.3">
      <c r="D870" s="531"/>
      <c r="J870" s="486"/>
      <c r="N870" s="56"/>
      <c r="V870" s="106"/>
      <c r="AA870" s="56"/>
      <c r="AD870" s="1"/>
      <c r="AE870" s="507"/>
      <c r="AF870" s="546"/>
      <c r="AG870" s="1"/>
      <c r="AH870" s="1"/>
      <c r="AI870" s="485"/>
      <c r="AJ870" s="464"/>
      <c r="AK870" s="465"/>
      <c r="AL870" s="465"/>
      <c r="AM870" s="465"/>
      <c r="AN870" s="465"/>
      <c r="AO870" s="465"/>
      <c r="AP870" s="465"/>
      <c r="AQ870" s="465"/>
      <c r="AR870" s="465"/>
      <c r="AS870" s="465"/>
      <c r="AT870" s="465"/>
      <c r="AU870" s="465"/>
      <c r="AV870" s="465"/>
      <c r="AW870" s="466"/>
      <c r="AX870" s="500"/>
      <c r="AZ870" s="106"/>
      <c r="BA870" s="77"/>
      <c r="BB870" s="106"/>
      <c r="BC870" s="106"/>
      <c r="BK870" s="56"/>
    </row>
    <row r="871" spans="2:72" x14ac:dyDescent="0.3">
      <c r="D871" s="1"/>
      <c r="J871" s="214"/>
      <c r="N871" s="231"/>
      <c r="AD871" s="1"/>
      <c r="AE871" s="507"/>
      <c r="AF871" s="546"/>
      <c r="AG871" s="1"/>
      <c r="AH871" s="1"/>
      <c r="AI871" s="485"/>
      <c r="AJ871" s="467"/>
      <c r="AK871" s="596" t="s">
        <v>142</v>
      </c>
      <c r="AL871" s="596"/>
      <c r="AM871" s="596"/>
      <c r="AN871" s="596"/>
      <c r="AO871" s="596"/>
      <c r="AP871" s="596"/>
      <c r="AQ871" s="596"/>
      <c r="AR871" s="596"/>
      <c r="AS871" s="596"/>
      <c r="AT871" s="596"/>
      <c r="AU871" s="596"/>
      <c r="AV871" s="596"/>
      <c r="AW871" s="468"/>
      <c r="AX871" s="500"/>
      <c r="AZ871" s="106"/>
      <c r="BA871" s="106"/>
      <c r="BB871" s="106"/>
      <c r="BC871" s="106"/>
    </row>
    <row r="872" spans="2:72" ht="15.6" x14ac:dyDescent="0.3">
      <c r="D872" s="1"/>
      <c r="H872" s="235"/>
      <c r="J872" s="57"/>
      <c r="N872" s="56"/>
      <c r="AD872" s="1"/>
      <c r="AE872" s="507"/>
      <c r="AF872" s="546"/>
      <c r="AG872" s="1"/>
      <c r="AH872" s="1"/>
      <c r="AI872" s="485"/>
      <c r="AJ872" s="467"/>
      <c r="AK872" s="596" t="s">
        <v>141</v>
      </c>
      <c r="AL872" s="596"/>
      <c r="AM872" s="596"/>
      <c r="AN872" s="596"/>
      <c r="AO872" s="473"/>
      <c r="AP872" s="474" t="s">
        <v>20</v>
      </c>
      <c r="AQ872" s="473"/>
      <c r="AR872" s="474" t="s">
        <v>4</v>
      </c>
      <c r="AS872" s="475"/>
      <c r="AT872" s="475"/>
      <c r="AU872" s="475"/>
      <c r="AV872" s="479" t="s">
        <v>10</v>
      </c>
      <c r="AW872" s="468"/>
      <c r="AX872" s="500"/>
      <c r="AZ872" s="106"/>
      <c r="BA872" s="106"/>
      <c r="BB872" s="106"/>
      <c r="BC872" s="106"/>
    </row>
    <row r="873" spans="2:72" ht="15.6" x14ac:dyDescent="0.3">
      <c r="H873" s="235"/>
      <c r="N873" s="231"/>
      <c r="AD873" s="1"/>
      <c r="AE873" s="507"/>
      <c r="AF873" s="546"/>
      <c r="AG873" s="1"/>
      <c r="AH873" s="1"/>
      <c r="AI873" s="485"/>
      <c r="AJ873" s="467"/>
      <c r="AK873" s="603" t="s">
        <v>138</v>
      </c>
      <c r="AL873" s="603"/>
      <c r="AM873" s="603"/>
      <c r="AN873" s="603"/>
      <c r="AO873" s="473"/>
      <c r="AP873" s="476">
        <f>+AH50</f>
        <v>898992</v>
      </c>
      <c r="AQ873" s="477"/>
      <c r="AR873" s="476">
        <f>+AH51</f>
        <v>55687</v>
      </c>
      <c r="AS873" s="478"/>
      <c r="AT873" s="478"/>
      <c r="AU873" s="478"/>
      <c r="AV873" s="491">
        <f t="shared" ref="AV873:AV879" si="4071">+AR873/AP873</f>
        <v>6.194382152455194E-2</v>
      </c>
      <c r="AW873" s="468"/>
      <c r="AX873" s="500"/>
      <c r="AZ873" s="106"/>
      <c r="BA873" s="77"/>
      <c r="BB873" s="106"/>
      <c r="BC873" s="106"/>
    </row>
    <row r="874" spans="2:72" ht="15.6" x14ac:dyDescent="0.3">
      <c r="D874" s="235"/>
      <c r="AD874" s="1"/>
      <c r="AE874" s="507"/>
      <c r="AF874" s="546"/>
      <c r="AG874" s="1"/>
      <c r="AH874" s="1"/>
      <c r="AI874" s="485"/>
      <c r="AJ874" s="467"/>
      <c r="AK874" s="623" t="s">
        <v>139</v>
      </c>
      <c r="AL874" s="600"/>
      <c r="AM874" s="600"/>
      <c r="AN874" s="600"/>
      <c r="AO874" s="64"/>
      <c r="AP874" s="469">
        <f>+AG83</f>
        <v>742147</v>
      </c>
      <c r="AQ874" s="64"/>
      <c r="AR874" s="469">
        <f>+AG84</f>
        <v>42339</v>
      </c>
      <c r="AS874" s="64"/>
      <c r="AT874" s="64"/>
      <c r="AU874" s="64"/>
      <c r="AV874" s="489">
        <f t="shared" si="4071"/>
        <v>5.7049344671608188E-2</v>
      </c>
      <c r="AW874" s="468"/>
      <c r="AX874" s="500"/>
      <c r="AZ874" s="106"/>
      <c r="BA874" s="77"/>
      <c r="BB874" s="106"/>
      <c r="BC874" s="106"/>
    </row>
    <row r="875" spans="2:72" ht="15.6" x14ac:dyDescent="0.3">
      <c r="AD875" s="1"/>
      <c r="AE875" s="507"/>
      <c r="AF875" s="546"/>
      <c r="AG875" s="1"/>
      <c r="AH875" s="1"/>
      <c r="AI875" s="485"/>
      <c r="AJ875" s="467"/>
      <c r="AK875" s="600" t="s">
        <v>140</v>
      </c>
      <c r="AL875" s="600"/>
      <c r="AM875" s="600"/>
      <c r="AN875" s="600"/>
      <c r="AO875" s="64"/>
      <c r="AP875" s="469">
        <f>+AH113</f>
        <v>869627</v>
      </c>
      <c r="AQ875" s="64"/>
      <c r="AR875" s="469">
        <f>+AH114</f>
        <v>21252</v>
      </c>
      <c r="AS875" s="64"/>
      <c r="AT875" s="64"/>
      <c r="AU875" s="64"/>
      <c r="AV875" s="489">
        <f t="shared" si="4071"/>
        <v>2.4438063675575852E-2</v>
      </c>
      <c r="AW875" s="468"/>
      <c r="AX875" s="500"/>
      <c r="AZ875" s="106"/>
      <c r="BA875" s="106"/>
      <c r="BB875" s="106"/>
      <c r="BC875" s="106"/>
    </row>
    <row r="876" spans="2:72" ht="15.6" x14ac:dyDescent="0.3">
      <c r="D876" s="428"/>
      <c r="AD876" s="1"/>
      <c r="AE876" s="507"/>
      <c r="AF876" s="546"/>
      <c r="AG876" s="1"/>
      <c r="AH876" s="1"/>
      <c r="AI876" s="485"/>
      <c r="AJ876" s="467"/>
      <c r="AK876" s="600" t="s">
        <v>143</v>
      </c>
      <c r="AL876" s="600"/>
      <c r="AM876" s="600"/>
      <c r="AN876" s="600"/>
      <c r="AO876" s="64"/>
      <c r="AP876" s="469">
        <f>+AG882</f>
        <v>1970617</v>
      </c>
      <c r="AQ876" s="64"/>
      <c r="AR876" s="469">
        <f>+AG884</f>
        <v>25901</v>
      </c>
      <c r="AS876" s="64"/>
      <c r="AT876" s="64"/>
      <c r="AU876" s="64"/>
      <c r="AV876" s="489">
        <f t="shared" si="4071"/>
        <v>1.3143599187462607E-2</v>
      </c>
      <c r="AW876" s="468"/>
      <c r="AX876" s="500"/>
    </row>
    <row r="877" spans="2:72" ht="15.6" x14ac:dyDescent="0.3">
      <c r="D877" s="428"/>
      <c r="AD877" s="1"/>
      <c r="AE877" s="507"/>
      <c r="AF877" s="546"/>
      <c r="AG877" s="1"/>
      <c r="AH877" s="1"/>
      <c r="AI877" s="485"/>
      <c r="AJ877" s="467"/>
      <c r="AK877" s="543"/>
      <c r="AL877" s="543" t="s">
        <v>151</v>
      </c>
      <c r="AM877" s="543"/>
      <c r="AN877" s="543"/>
      <c r="AO877" s="64"/>
      <c r="AP877" s="469">
        <f>SUM(D144:D174)</f>
        <v>1493931</v>
      </c>
      <c r="AQ877" s="64"/>
      <c r="AR877" s="469">
        <f>SUM(W144:W174)</f>
        <v>30354</v>
      </c>
      <c r="AS877" s="64"/>
      <c r="AT877" s="64"/>
      <c r="AU877" s="64"/>
      <c r="AV877" s="489">
        <f t="shared" si="4071"/>
        <v>2.0318207467413155E-2</v>
      </c>
      <c r="AW877" s="468"/>
      <c r="AX877" s="500"/>
    </row>
    <row r="878" spans="2:72" ht="15.6" x14ac:dyDescent="0.3">
      <c r="D878" s="428"/>
      <c r="AD878" s="1"/>
      <c r="AE878" s="507"/>
      <c r="AF878" s="546"/>
      <c r="AG878" s="1"/>
      <c r="AH878" s="1"/>
      <c r="AI878" s="485"/>
      <c r="AJ878" s="467"/>
      <c r="AK878" s="543"/>
      <c r="AL878" s="543" t="s">
        <v>152</v>
      </c>
      <c r="AM878" s="543"/>
      <c r="AN878" s="543"/>
      <c r="AO878" s="64"/>
      <c r="AP878" s="469">
        <f>SUM(D175:D204)</f>
        <v>1202331</v>
      </c>
      <c r="AQ878" s="64"/>
      <c r="AR878" s="544">
        <f>SUM(W175:W204)</f>
        <v>24042</v>
      </c>
      <c r="AS878" s="64"/>
      <c r="AT878" s="64"/>
      <c r="AU878" s="64"/>
      <c r="AV878" s="489">
        <f t="shared" si="4071"/>
        <v>1.9996157464125936E-2</v>
      </c>
      <c r="AW878" s="468"/>
      <c r="AX878" s="500"/>
    </row>
    <row r="879" spans="2:72" ht="15.6" x14ac:dyDescent="0.3">
      <c r="D879" s="428"/>
      <c r="AD879" s="1"/>
      <c r="AE879" s="507"/>
      <c r="AF879" s="546"/>
      <c r="AG879" s="1"/>
      <c r="AH879" s="1"/>
      <c r="AI879" s="485"/>
      <c r="AJ879" s="467"/>
      <c r="AK879" s="543"/>
      <c r="AL879" s="543" t="s">
        <v>153</v>
      </c>
      <c r="AM879" s="543"/>
      <c r="AN879" s="543"/>
      <c r="AO879" s="64"/>
      <c r="AP879" s="469">
        <f>SUM(D205:D230)</f>
        <v>1470960</v>
      </c>
      <c r="AQ879" s="64"/>
      <c r="AR879" s="469">
        <f>SUM(W205:W235)</f>
        <v>24156</v>
      </c>
      <c r="AS879" s="64"/>
      <c r="AT879" s="64"/>
      <c r="AU879" s="64"/>
      <c r="AV879" s="489">
        <f t="shared" si="4071"/>
        <v>1.6421928536465982E-2</v>
      </c>
      <c r="AW879" s="468"/>
      <c r="AX879" s="500"/>
      <c r="BA879" s="486">
        <f>+AV873-AV879</f>
        <v>4.5521892988085955E-2</v>
      </c>
    </row>
    <row r="880" spans="2:72" ht="15" thickBot="1" x14ac:dyDescent="0.35">
      <c r="B880" s="427"/>
      <c r="D880" s="235"/>
      <c r="AD880" s="1"/>
      <c r="AE880" s="507"/>
      <c r="AF880" s="546"/>
      <c r="AG880" s="1"/>
      <c r="AH880" s="1"/>
      <c r="AI880" s="485"/>
      <c r="AJ880" s="467"/>
      <c r="AK880" s="480"/>
      <c r="AL880" s="480"/>
      <c r="AM880" s="480"/>
      <c r="AN880" s="480"/>
      <c r="AO880" s="481"/>
      <c r="AP880" s="482"/>
      <c r="AQ880" s="481"/>
      <c r="AR880" s="482"/>
      <c r="AS880" s="481"/>
      <c r="AT880" s="481"/>
      <c r="AU880" s="481"/>
      <c r="AV880" s="483"/>
      <c r="AW880" s="468"/>
      <c r="AX880" s="500"/>
      <c r="BA880">
        <f>+BA879/AV873</f>
        <v>0.73488996751747038</v>
      </c>
    </row>
    <row r="881" spans="2:87" ht="15.6" x14ac:dyDescent="0.3">
      <c r="B881" s="427"/>
      <c r="D881" s="235"/>
      <c r="AD881" s="1"/>
      <c r="AE881" s="507"/>
      <c r="AF881" s="546"/>
      <c r="AG881" s="1"/>
      <c r="AH881" s="1"/>
      <c r="AI881" s="485"/>
      <c r="AJ881" s="467"/>
      <c r="AK881" s="603" t="s">
        <v>138</v>
      </c>
      <c r="AL881" s="603"/>
      <c r="AM881" s="603"/>
      <c r="AN881" s="603"/>
      <c r="AO881" s="64"/>
      <c r="AP881" s="469"/>
      <c r="AQ881" s="64"/>
      <c r="AR881" s="469">
        <f>+AR873</f>
        <v>55687</v>
      </c>
      <c r="AS881" s="64"/>
      <c r="AT881" s="64"/>
      <c r="AU881" s="64"/>
      <c r="AV881" s="144"/>
      <c r="AW881" s="468"/>
      <c r="AX881" s="500"/>
    </row>
    <row r="882" spans="2:87" ht="15.6" x14ac:dyDescent="0.3">
      <c r="B882" s="427"/>
      <c r="D882" s="235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10"/>
      <c r="AE882" s="507"/>
      <c r="AF882" s="546"/>
      <c r="AG882" s="33">
        <f>SUM(D113:D143)</f>
        <v>1970617</v>
      </c>
      <c r="AH882" s="1"/>
      <c r="AI882" s="485"/>
      <c r="AJ882" s="467"/>
      <c r="AK882" s="607" t="s">
        <v>153</v>
      </c>
      <c r="AL882" s="607"/>
      <c r="AM882" s="607"/>
      <c r="AN882" s="607"/>
      <c r="AO882" s="64"/>
      <c r="AP882" s="469"/>
      <c r="AQ882" s="64"/>
      <c r="AR882" s="469">
        <f>+AR879</f>
        <v>24156</v>
      </c>
      <c r="AS882" s="64"/>
      <c r="AT882" s="64"/>
      <c r="AU882" s="64"/>
      <c r="AV882" s="144"/>
      <c r="AW882" s="468"/>
      <c r="AX882" s="500"/>
    </row>
    <row r="883" spans="2:87" ht="15.6" x14ac:dyDescent="0.3">
      <c r="B883" s="427"/>
      <c r="D883" s="235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10"/>
      <c r="AE883" s="507"/>
      <c r="AF883" s="546"/>
      <c r="AG883" s="33">
        <f>SUM(W125:W138)</f>
        <v>12117</v>
      </c>
      <c r="AH883" s="1"/>
      <c r="AI883" s="485"/>
      <c r="AJ883" s="467"/>
      <c r="AK883" s="63"/>
      <c r="AL883" s="497" t="s">
        <v>3</v>
      </c>
      <c r="AM883" s="63"/>
      <c r="AN883" s="63"/>
      <c r="AO883" s="64"/>
      <c r="AP883" s="469"/>
      <c r="AQ883" s="64"/>
      <c r="AR883" s="469">
        <f>+AR881-AR882</f>
        <v>31531</v>
      </c>
      <c r="AS883" s="64"/>
      <c r="AT883" s="64"/>
      <c r="AU883" s="64"/>
      <c r="AV883" s="484">
        <f>+AR883/AR881</f>
        <v>0.5662183274372834</v>
      </c>
      <c r="AW883" s="468"/>
      <c r="AX883" s="500"/>
    </row>
    <row r="884" spans="2:87" ht="15" thickBot="1" x14ac:dyDescent="0.35">
      <c r="D884" s="427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10"/>
      <c r="AE884" s="507"/>
      <c r="AF884" s="548"/>
      <c r="AG884" s="33">
        <f>SUM(W113:W143)</f>
        <v>25901</v>
      </c>
      <c r="AH884" s="1"/>
      <c r="AI884" s="485"/>
      <c r="AJ884" s="470"/>
      <c r="AK884" s="471"/>
      <c r="AL884" s="471"/>
      <c r="AM884" s="471"/>
      <c r="AN884" s="471"/>
      <c r="AO884" s="471"/>
      <c r="AP884" s="471"/>
      <c r="AQ884" s="471"/>
      <c r="AR884" s="471"/>
      <c r="AS884" s="471"/>
      <c r="AT884" s="471"/>
      <c r="AU884" s="471"/>
      <c r="AV884" s="471"/>
      <c r="AW884" s="472"/>
      <c r="AX884" s="500"/>
      <c r="BD884" s="78"/>
      <c r="BE884" s="78"/>
      <c r="BF884" s="78"/>
      <c r="BG884" s="78"/>
      <c r="BH884" s="78"/>
      <c r="BI884" s="78"/>
      <c r="BJ884" s="78"/>
      <c r="BK884" s="78"/>
      <c r="BL884" s="78"/>
      <c r="BM884" s="78"/>
      <c r="BN884" s="78"/>
      <c r="BO884" s="78"/>
      <c r="BP884" s="78"/>
      <c r="BQ884" s="78"/>
      <c r="BR884" s="78"/>
      <c r="BS884" s="1"/>
      <c r="BT884" s="1"/>
      <c r="BU884" s="1"/>
      <c r="BV884" s="1"/>
      <c r="BW884" s="78"/>
      <c r="BX884" s="78"/>
      <c r="BY884" s="78"/>
      <c r="BZ884" s="78"/>
      <c r="CA884" s="78"/>
      <c r="CB884" s="78"/>
      <c r="CC884" s="78"/>
      <c r="CD884" s="78"/>
      <c r="CE884" s="78"/>
      <c r="CF884" s="78"/>
      <c r="CG884" s="78"/>
      <c r="CH884" s="78"/>
      <c r="CI884" s="78"/>
    </row>
    <row r="885" spans="2:87" x14ac:dyDescent="0.3"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10"/>
      <c r="AE885" s="507"/>
      <c r="AF885" s="507"/>
      <c r="AG885" s="507"/>
      <c r="AH885" s="507"/>
      <c r="AI885" s="507"/>
      <c r="AJ885" s="500"/>
      <c r="AK885" s="500"/>
      <c r="AL885" s="500"/>
      <c r="AM885" s="500"/>
      <c r="AN885" s="500"/>
      <c r="AO885" s="500"/>
      <c r="AP885" s="500"/>
      <c r="AQ885" s="500"/>
      <c r="AR885" s="500"/>
      <c r="AS885" s="500"/>
      <c r="AT885" s="500"/>
      <c r="AU885" s="500"/>
      <c r="AV885" s="500"/>
      <c r="AW885" s="500"/>
      <c r="AX885" s="500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77"/>
      <c r="BX885" s="77"/>
      <c r="BY885" s="77"/>
      <c r="BZ885" s="77"/>
      <c r="CA885" s="109"/>
      <c r="CB885" s="1"/>
      <c r="CC885" s="1"/>
      <c r="CD885" s="1"/>
      <c r="CE885" s="1"/>
      <c r="CF885" s="1"/>
      <c r="CG885" s="1"/>
      <c r="CH885" s="1"/>
      <c r="CI885" s="1"/>
    </row>
    <row r="886" spans="2:87" x14ac:dyDescent="0.3">
      <c r="D886">
        <v>10</v>
      </c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10"/>
      <c r="AE886" s="10"/>
      <c r="AF886" s="10"/>
      <c r="AG886" s="10"/>
      <c r="AH886" s="10"/>
      <c r="AI886" s="10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77"/>
      <c r="BX886" s="77"/>
      <c r="BY886" s="77"/>
      <c r="BZ886" s="77"/>
      <c r="CA886" s="77"/>
      <c r="CB886" s="1"/>
      <c r="CC886" s="1"/>
      <c r="CD886" s="1"/>
      <c r="CE886" s="1"/>
      <c r="CF886" s="1"/>
      <c r="CG886" s="1"/>
      <c r="CH886" s="1"/>
      <c r="CI886" s="1"/>
    </row>
    <row r="887" spans="2:87" x14ac:dyDescent="0.3">
      <c r="D887" s="1">
        <v>77000000</v>
      </c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10"/>
      <c r="AE887" s="10"/>
      <c r="AF887" s="10"/>
      <c r="AG887" s="10"/>
      <c r="AH887" s="10"/>
      <c r="AI887" s="10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77"/>
      <c r="BX887" s="77"/>
      <c r="BY887" s="77"/>
      <c r="BZ887" s="77"/>
      <c r="CA887" s="77"/>
      <c r="CB887" s="1"/>
      <c r="CC887" s="1"/>
      <c r="CD887" s="1"/>
      <c r="CE887" s="1"/>
      <c r="CF887" s="1"/>
      <c r="CG887" s="1"/>
    </row>
    <row r="888" spans="2:87" x14ac:dyDescent="0.3">
      <c r="D888" s="57">
        <f>+D887/D890</f>
        <v>0.23262839879154079</v>
      </c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10"/>
      <c r="AE888" s="10"/>
      <c r="AF888" s="10"/>
      <c r="AG888" s="501"/>
      <c r="AH888" s="10"/>
      <c r="AI888" s="10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77"/>
      <c r="BX888" s="77"/>
      <c r="BY888" s="77"/>
      <c r="BZ888" s="77"/>
      <c r="CA888" s="77"/>
      <c r="CB888" s="1"/>
      <c r="CC888" s="1"/>
      <c r="CD888" s="1"/>
      <c r="CE888" s="1"/>
      <c r="CF888" s="1"/>
      <c r="CG888" s="1"/>
    </row>
    <row r="889" spans="2:87" x14ac:dyDescent="0.3"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10"/>
      <c r="AE889" s="10"/>
      <c r="AF889" s="507"/>
      <c r="AG889" s="526"/>
      <c r="AH889" s="507"/>
      <c r="AI889" s="507"/>
      <c r="AJ889" s="500"/>
      <c r="AK889" s="500"/>
      <c r="AL889" s="500"/>
      <c r="AM889" s="500"/>
      <c r="AN889" s="500"/>
      <c r="AO889" s="500"/>
      <c r="AP889" s="500"/>
      <c r="AQ889" s="500"/>
      <c r="AR889" s="500"/>
      <c r="AS889" s="500"/>
      <c r="AT889" s="500"/>
      <c r="AU889" s="500"/>
      <c r="AV889" s="500"/>
      <c r="AW889" s="500"/>
      <c r="AX889" s="500"/>
      <c r="AY889" s="500"/>
      <c r="AZ889" s="500"/>
      <c r="BA889" s="500"/>
      <c r="BB889" s="500"/>
      <c r="BC889" s="500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77"/>
      <c r="BX889" s="77"/>
      <c r="BY889" s="110"/>
      <c r="BZ889" s="77"/>
      <c r="CA889" s="77"/>
    </row>
    <row r="890" spans="2:87" x14ac:dyDescent="0.3">
      <c r="D890" s="1">
        <v>331000000</v>
      </c>
      <c r="H890">
        <v>0.13400000000000001</v>
      </c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10"/>
      <c r="AE890" s="10"/>
      <c r="AF890" s="507"/>
      <c r="AG890" s="527"/>
      <c r="AH890" s="507"/>
      <c r="AI890" s="507"/>
      <c r="AJ890" s="524"/>
      <c r="AK890" s="524"/>
      <c r="AL890" s="525"/>
      <c r="AM890" s="525"/>
      <c r="AN890" s="525"/>
      <c r="AO890" s="525"/>
      <c r="AP890" s="525"/>
      <c r="AQ890" s="525"/>
      <c r="AR890" s="525"/>
      <c r="AS890" s="525"/>
      <c r="AT890" s="525"/>
      <c r="AU890" s="525"/>
      <c r="AV890" s="525"/>
      <c r="AW890" s="525"/>
      <c r="AX890" s="525"/>
      <c r="AY890" s="525"/>
      <c r="AZ890" s="525"/>
      <c r="BA890" s="525"/>
      <c r="BB890" s="524"/>
      <c r="BC890" s="524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77"/>
      <c r="BX890" s="77"/>
      <c r="BY890" s="77"/>
      <c r="BZ890" s="77"/>
      <c r="CA890" s="77"/>
    </row>
    <row r="891" spans="2:87" x14ac:dyDescent="0.3">
      <c r="D891" s="1">
        <f>+D890*H890</f>
        <v>44354000</v>
      </c>
      <c r="H891" s="1">
        <f>+D891*0.001</f>
        <v>44354</v>
      </c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10"/>
      <c r="AE891" s="10"/>
      <c r="AF891" s="507"/>
      <c r="AG891" s="526"/>
      <c r="AH891" s="507"/>
      <c r="AI891" s="507"/>
      <c r="AJ891" s="524"/>
      <c r="AK891" s="524"/>
      <c r="AL891" s="138"/>
      <c r="AM891" s="138"/>
      <c r="AN891" s="138"/>
      <c r="AO891" s="138"/>
      <c r="AP891" s="138"/>
      <c r="AQ891" s="138"/>
      <c r="AR891" s="138"/>
      <c r="AS891" s="78"/>
      <c r="AT891" s="78"/>
      <c r="AU891" s="78"/>
      <c r="AV891" s="98"/>
      <c r="AW891" s="98"/>
      <c r="AX891" s="98"/>
      <c r="AY891" s="98"/>
      <c r="AZ891" s="524"/>
      <c r="BA891" s="524"/>
      <c r="BB891" s="530"/>
      <c r="BC891" s="524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77"/>
      <c r="BX891" s="77"/>
      <c r="BY891" s="77"/>
      <c r="BZ891" s="77"/>
      <c r="CA891" s="77"/>
    </row>
    <row r="892" spans="2:87" x14ac:dyDescent="0.3">
      <c r="D892" s="425">
        <v>7.1999999999999995E-2</v>
      </c>
      <c r="H892" s="1">
        <f>+AA204*H890</f>
        <v>28746.886000000002</v>
      </c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10"/>
      <c r="AE892" s="10"/>
      <c r="AF892" s="507"/>
      <c r="AG892" s="526">
        <v>44031</v>
      </c>
      <c r="AH892" s="507"/>
      <c r="AI892" s="507"/>
      <c r="AJ892" s="524"/>
      <c r="AK892" s="524"/>
      <c r="AL892" s="138"/>
      <c r="AM892" s="138"/>
      <c r="AN892" s="138"/>
      <c r="AO892" s="138"/>
      <c r="AP892" s="138"/>
      <c r="AQ892" s="138"/>
      <c r="AR892" s="138"/>
      <c r="AS892" s="138"/>
      <c r="AT892" s="98"/>
      <c r="AU892" s="78"/>
      <c r="AV892" s="98"/>
      <c r="AW892" s="98"/>
      <c r="AX892" s="98"/>
      <c r="AY892" s="98"/>
      <c r="AZ892" s="524"/>
      <c r="BA892" s="524"/>
      <c r="BB892" s="530"/>
      <c r="BC892" s="524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77"/>
      <c r="BX892" s="77"/>
      <c r="BY892" s="77"/>
      <c r="BZ892" s="77"/>
      <c r="CA892" s="77"/>
    </row>
    <row r="893" spans="2:87" x14ac:dyDescent="0.3"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10"/>
      <c r="AE893" s="10"/>
      <c r="AF893" s="507"/>
      <c r="AG893" s="526">
        <v>44038</v>
      </c>
      <c r="AH893" s="507"/>
      <c r="AI893" s="507"/>
      <c r="AJ893" s="524"/>
      <c r="AK893" s="524"/>
      <c r="AL893" s="78"/>
      <c r="AM893" s="78"/>
      <c r="AN893" s="139"/>
      <c r="AO893" s="139"/>
      <c r="AP893" s="139"/>
      <c r="AQ893" s="139"/>
      <c r="AR893" s="139"/>
      <c r="AS893" s="78"/>
      <c r="AT893" s="78"/>
      <c r="AU893" s="78"/>
      <c r="AV893" s="98"/>
      <c r="AW893" s="98"/>
      <c r="AX893" s="98"/>
      <c r="AY893" s="98"/>
      <c r="AZ893" s="524"/>
      <c r="BA893" s="524"/>
      <c r="BB893" s="530"/>
      <c r="BC893" s="524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77"/>
      <c r="BX893" s="77"/>
      <c r="BY893" s="77"/>
      <c r="BZ893" s="77"/>
      <c r="CA893" s="77"/>
    </row>
    <row r="894" spans="2:87" x14ac:dyDescent="0.3">
      <c r="D894" s="235">
        <v>4.2000000000000003E-2</v>
      </c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10"/>
      <c r="AE894" s="10"/>
      <c r="AF894" s="507"/>
      <c r="AG894" s="526">
        <v>44045</v>
      </c>
      <c r="AH894" s="507"/>
      <c r="AI894" s="507"/>
      <c r="AJ894" s="524"/>
      <c r="AK894" s="524"/>
      <c r="AL894" s="138"/>
      <c r="AM894" s="138"/>
      <c r="AN894" s="138"/>
      <c r="AO894" s="138"/>
      <c r="AP894" s="138"/>
      <c r="AQ894" s="138"/>
      <c r="AR894" s="138"/>
      <c r="AS894" s="138"/>
      <c r="AT894" s="138"/>
      <c r="AU894" s="138"/>
      <c r="AV894" s="98"/>
      <c r="AW894" s="98"/>
      <c r="AX894" s="98"/>
      <c r="AY894" s="98"/>
      <c r="AZ894" s="524"/>
      <c r="BA894" s="524"/>
      <c r="BB894" s="530"/>
      <c r="BC894" s="524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2:87" x14ac:dyDescent="0.3">
      <c r="D895" s="531">
        <f>+D890*D892*D894</f>
        <v>1000944.0000000001</v>
      </c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10"/>
      <c r="AE895" s="10"/>
      <c r="AF895" s="507"/>
      <c r="AG895" s="526">
        <v>44052</v>
      </c>
      <c r="AH895" s="507"/>
      <c r="AI895" s="507"/>
      <c r="AJ895" s="524"/>
      <c r="AK895" s="524"/>
      <c r="AL895" s="78"/>
      <c r="AM895" s="78"/>
      <c r="AN895" s="139"/>
      <c r="AO895" s="139"/>
      <c r="AP895" s="139"/>
      <c r="AQ895" s="139"/>
      <c r="AR895" s="139"/>
      <c r="AS895" s="139"/>
      <c r="AT895" s="139"/>
      <c r="AU895" s="78"/>
      <c r="AV895" s="98"/>
      <c r="AW895" s="98"/>
      <c r="AX895" s="98"/>
      <c r="AY895" s="98"/>
      <c r="AZ895" s="524"/>
      <c r="BA895" s="524"/>
      <c r="BB895" s="530"/>
      <c r="BC895" s="524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2:87" x14ac:dyDescent="0.3"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10"/>
      <c r="AE896" s="10"/>
      <c r="AF896" s="507"/>
      <c r="AG896" s="526"/>
      <c r="AH896" s="507"/>
      <c r="AI896" s="507"/>
      <c r="AJ896" s="524"/>
      <c r="AK896" s="524"/>
      <c r="AL896" s="78"/>
      <c r="AM896" s="78"/>
      <c r="AN896" s="139"/>
      <c r="AO896" s="139"/>
      <c r="AP896" s="139"/>
      <c r="AQ896" s="139"/>
      <c r="AR896" s="139"/>
      <c r="AS896" s="139"/>
      <c r="AT896" s="139"/>
      <c r="AU896" s="78"/>
      <c r="AV896" s="98"/>
      <c r="AW896" s="98"/>
      <c r="AX896" s="98"/>
      <c r="AY896" s="98"/>
      <c r="AZ896" s="524"/>
      <c r="BA896" s="524"/>
      <c r="BB896" s="530"/>
      <c r="BC896" s="524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2:79" x14ac:dyDescent="0.3"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10"/>
      <c r="AE897" s="10"/>
      <c r="AF897" s="507"/>
      <c r="AG897" s="526"/>
      <c r="AH897" s="507"/>
      <c r="AI897" s="507"/>
      <c r="AJ897" s="524"/>
      <c r="AK897" s="524"/>
      <c r="AL897" s="78"/>
      <c r="AM897" s="78"/>
      <c r="AN897" s="139"/>
      <c r="AO897" s="139"/>
      <c r="AP897" s="139"/>
      <c r="AQ897" s="139"/>
      <c r="AR897" s="139"/>
      <c r="AS897" s="139"/>
      <c r="AT897" s="139"/>
      <c r="AU897" s="78"/>
      <c r="AV897" s="98"/>
      <c r="AW897" s="98"/>
      <c r="AX897" s="98"/>
      <c r="AY897" s="98"/>
      <c r="AZ897" s="524"/>
      <c r="BA897" s="524"/>
      <c r="BB897" s="530"/>
      <c r="BC897" s="524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2:79" x14ac:dyDescent="0.3"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10"/>
      <c r="AE898" s="10"/>
      <c r="AF898" s="507"/>
      <c r="AG898" s="528"/>
      <c r="AH898" s="507"/>
      <c r="AI898" s="507"/>
      <c r="AJ898" s="524"/>
      <c r="AK898" s="524"/>
      <c r="AL898" s="78"/>
      <c r="AM898" s="78"/>
      <c r="AN898" s="139"/>
      <c r="AO898" s="139"/>
      <c r="AP898" s="139"/>
      <c r="AQ898" s="139"/>
      <c r="AR898" s="139"/>
      <c r="AS898" s="139"/>
      <c r="AT898" s="139"/>
      <c r="AU898" s="78"/>
      <c r="AV898" s="98"/>
      <c r="AW898" s="98"/>
      <c r="AX898" s="98"/>
      <c r="AY898" s="98"/>
      <c r="AZ898" s="524"/>
      <c r="BA898" s="524"/>
      <c r="BB898" s="530"/>
      <c r="BC898" s="524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2:79" x14ac:dyDescent="0.3"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10"/>
      <c r="AE899" s="10"/>
      <c r="AF899" s="507"/>
      <c r="AG899" s="507"/>
      <c r="AH899" s="507"/>
      <c r="AI899" s="507"/>
      <c r="AJ899" s="524"/>
      <c r="AK899" s="524"/>
      <c r="AL899" s="78"/>
      <c r="AM899" s="78"/>
      <c r="AN899" s="139"/>
      <c r="AO899" s="139"/>
      <c r="AP899" s="139"/>
      <c r="AQ899" s="139"/>
      <c r="AR899" s="139"/>
      <c r="AS899" s="139"/>
      <c r="AT899" s="139"/>
      <c r="AU899" s="78"/>
      <c r="AV899" s="98"/>
      <c r="AW899" s="98"/>
      <c r="AX899" s="98"/>
      <c r="AY899" s="98"/>
      <c r="AZ899" s="524"/>
      <c r="BA899" s="524"/>
      <c r="BB899" s="530"/>
      <c r="BC899" s="524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2:79" x14ac:dyDescent="0.3"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10"/>
      <c r="AE900" s="10"/>
      <c r="AF900" s="507"/>
      <c r="AG900" s="507"/>
      <c r="AH900" s="507"/>
      <c r="AI900" s="507"/>
      <c r="AJ900" s="524"/>
      <c r="AK900" s="524"/>
      <c r="AL900" s="138"/>
      <c r="AM900" s="138"/>
      <c r="AN900" s="138"/>
      <c r="AO900" s="138"/>
      <c r="AP900" s="138"/>
      <c r="AQ900" s="138"/>
      <c r="AR900" s="138"/>
      <c r="AS900" s="138"/>
      <c r="AT900" s="138"/>
      <c r="AU900" s="138"/>
      <c r="AV900" s="78"/>
      <c r="AW900" s="78"/>
      <c r="AX900" s="78"/>
      <c r="AY900" s="78"/>
      <c r="AZ900" s="524"/>
      <c r="BA900" s="530"/>
      <c r="BB900" s="530"/>
      <c r="BC900" s="524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2:79" x14ac:dyDescent="0.3">
      <c r="AD901" s="10"/>
      <c r="AE901" s="10"/>
      <c r="AF901" s="507"/>
      <c r="AG901" s="507"/>
      <c r="AH901" s="507"/>
      <c r="AI901" s="507"/>
      <c r="AJ901" s="524"/>
      <c r="AK901" s="524"/>
      <c r="AL901" s="138"/>
      <c r="AM901" s="138"/>
      <c r="AN901" s="138"/>
      <c r="AO901" s="138"/>
      <c r="AP901" s="138"/>
      <c r="AQ901" s="138"/>
      <c r="AR901" s="138"/>
      <c r="AS901" s="138"/>
      <c r="AT901" s="138"/>
      <c r="AU901" s="138"/>
      <c r="AV901" s="78"/>
      <c r="AW901" s="78"/>
      <c r="AX901" s="78"/>
      <c r="AY901" s="78"/>
      <c r="AZ901" s="524"/>
      <c r="BA901" s="530"/>
      <c r="BB901" s="530"/>
      <c r="BC901" s="524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2:79" ht="15" thickBot="1" x14ac:dyDescent="0.35">
      <c r="B902" s="500"/>
      <c r="C902" s="500"/>
      <c r="D902" s="500"/>
      <c r="E902" s="500"/>
      <c r="F902" s="500"/>
      <c r="G902" s="500"/>
      <c r="H902" s="500"/>
      <c r="I902" s="500"/>
      <c r="J902" s="500"/>
      <c r="K902" s="500"/>
      <c r="L902" s="500"/>
      <c r="M902" s="500"/>
      <c r="N902" s="500"/>
      <c r="O902" s="500"/>
      <c r="P902" s="500"/>
      <c r="Q902" s="500"/>
      <c r="R902" s="500"/>
      <c r="S902" s="500"/>
      <c r="T902" s="500"/>
      <c r="U902" s="500"/>
      <c r="V902" s="500"/>
      <c r="AD902" s="10"/>
      <c r="AE902" s="10"/>
      <c r="AF902" s="507"/>
      <c r="AG902" s="507"/>
      <c r="AH902" s="507"/>
      <c r="AI902" s="507"/>
      <c r="AJ902" s="524"/>
      <c r="AK902" s="524"/>
      <c r="AL902" s="138"/>
      <c r="AM902" s="138"/>
      <c r="AN902" s="138"/>
      <c r="AO902" s="138"/>
      <c r="AP902" s="138"/>
      <c r="AQ902" s="138"/>
      <c r="AR902" s="138"/>
      <c r="AS902" s="138"/>
      <c r="AT902" s="138"/>
      <c r="AU902" s="138"/>
      <c r="AV902" s="78"/>
      <c r="AW902" s="78"/>
      <c r="AX902" s="78"/>
      <c r="AY902" s="78"/>
      <c r="AZ902" s="524"/>
      <c r="BA902" s="530"/>
      <c r="BB902" s="530"/>
      <c r="BC902" s="524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2:79" x14ac:dyDescent="0.3">
      <c r="B903" s="500"/>
      <c r="C903" s="510"/>
      <c r="D903" s="357"/>
      <c r="E903" s="357"/>
      <c r="F903" s="357"/>
      <c r="G903" s="357"/>
      <c r="H903" s="357"/>
      <c r="I903" s="357"/>
      <c r="J903" s="357"/>
      <c r="K903" s="357"/>
      <c r="L903" s="357"/>
      <c r="M903" s="357"/>
      <c r="N903" s="357"/>
      <c r="O903" s="357"/>
      <c r="P903" s="511"/>
      <c r="V903" s="500"/>
      <c r="AD903" s="10"/>
      <c r="AE903" s="10"/>
      <c r="AF903" s="507"/>
      <c r="AG903" s="507"/>
      <c r="AH903" s="507"/>
      <c r="AI903" s="507"/>
      <c r="AJ903" s="524"/>
      <c r="AK903" s="524"/>
      <c r="AL903" s="138"/>
      <c r="AM903" s="138"/>
      <c r="AN903" s="138"/>
      <c r="AO903" s="138"/>
      <c r="AP903" s="138"/>
      <c r="AQ903" s="138"/>
      <c r="AR903" s="138"/>
      <c r="AS903" s="138"/>
      <c r="AT903" s="138"/>
      <c r="AU903" s="138"/>
      <c r="AV903" s="78"/>
      <c r="AW903" s="78"/>
      <c r="AX903" s="78"/>
      <c r="AY903" s="78"/>
      <c r="AZ903" s="524"/>
      <c r="BA903" s="530"/>
      <c r="BB903" s="530"/>
      <c r="BC903" s="524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2:79" x14ac:dyDescent="0.3">
      <c r="B904" s="500"/>
      <c r="C904" s="512"/>
      <c r="D904" s="502" t="s">
        <v>149</v>
      </c>
      <c r="E904" s="387"/>
      <c r="F904" s="387"/>
      <c r="G904" s="387"/>
      <c r="H904" s="602" t="s">
        <v>20</v>
      </c>
      <c r="I904" s="602"/>
      <c r="J904" s="602"/>
      <c r="K904" s="387"/>
      <c r="L904" s="387"/>
      <c r="M904" s="387"/>
      <c r="N904" s="387"/>
      <c r="O904" s="387"/>
      <c r="P904" s="513"/>
      <c r="V904" s="500"/>
      <c r="AD904" s="10"/>
      <c r="AE904" s="10"/>
      <c r="AF904" s="507"/>
      <c r="AG904" s="507"/>
      <c r="AH904" s="507"/>
      <c r="AI904" s="507"/>
      <c r="AJ904" s="524"/>
      <c r="AK904" s="524"/>
      <c r="AL904" s="138"/>
      <c r="AM904" s="138"/>
      <c r="AN904" s="138"/>
      <c r="AO904" s="138"/>
      <c r="AP904" s="138"/>
      <c r="AQ904" s="138"/>
      <c r="AR904" s="138"/>
      <c r="AS904" s="138"/>
      <c r="AT904" s="138"/>
      <c r="AU904" s="138"/>
      <c r="AV904" s="78"/>
      <c r="AW904" s="78"/>
      <c r="AX904" s="78"/>
      <c r="AY904" s="78"/>
      <c r="AZ904" s="524"/>
      <c r="BA904" s="530"/>
      <c r="BB904" s="530"/>
      <c r="BC904" s="524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2:79" x14ac:dyDescent="0.3">
      <c r="B905" s="500"/>
      <c r="C905" s="512"/>
      <c r="D905" s="514" t="s">
        <v>150</v>
      </c>
      <c r="E905" s="387"/>
      <c r="F905" s="387"/>
      <c r="G905" s="387"/>
      <c r="H905" s="515" t="s">
        <v>147</v>
      </c>
      <c r="I905" s="502"/>
      <c r="J905" s="516" t="s">
        <v>148</v>
      </c>
      <c r="K905" s="502"/>
      <c r="L905" s="502"/>
      <c r="M905" s="502"/>
      <c r="N905" s="502"/>
      <c r="O905" s="517" t="s">
        <v>3</v>
      </c>
      <c r="P905" s="513"/>
      <c r="V905" s="500"/>
      <c r="AD905" s="10"/>
      <c r="AE905" s="10"/>
      <c r="AF905" s="507"/>
      <c r="AG905" s="507"/>
      <c r="AH905" s="507"/>
      <c r="AI905" s="507"/>
      <c r="AJ905" s="524"/>
      <c r="AK905" s="524"/>
      <c r="AL905" s="529"/>
      <c r="AM905" s="529"/>
      <c r="AN905" s="529"/>
      <c r="AO905" s="529"/>
      <c r="AP905" s="529"/>
      <c r="AQ905" s="529"/>
      <c r="AR905" s="529"/>
      <c r="AS905" s="529"/>
      <c r="AT905" s="529"/>
      <c r="AU905" s="529"/>
      <c r="AV905" s="524"/>
      <c r="AW905" s="524"/>
      <c r="AX905" s="524"/>
      <c r="AY905" s="524"/>
      <c r="AZ905" s="524"/>
      <c r="BA905" s="530"/>
      <c r="BB905" s="530"/>
      <c r="BC905" s="524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2:79" x14ac:dyDescent="0.3">
      <c r="B906" s="500"/>
      <c r="C906" s="512"/>
      <c r="D906" s="503" t="s">
        <v>146</v>
      </c>
      <c r="E906" s="15"/>
      <c r="F906" s="15"/>
      <c r="G906" s="15"/>
      <c r="H906" s="518">
        <f>SUM(D133:D139)</f>
        <v>471981</v>
      </c>
      <c r="I906" s="15"/>
      <c r="J906" s="16">
        <f>+H906/7</f>
        <v>67425.857142857145</v>
      </c>
      <c r="K906" s="15"/>
      <c r="L906" s="15"/>
      <c r="M906" s="15"/>
      <c r="N906" s="15"/>
      <c r="O906" s="15"/>
      <c r="P906" s="513"/>
      <c r="V906" s="500"/>
      <c r="AD906" s="10"/>
      <c r="AE906" s="10"/>
      <c r="AF906" s="507"/>
      <c r="AG906" s="507"/>
      <c r="AH906" s="507"/>
      <c r="AI906" s="507"/>
      <c r="AJ906" s="524"/>
      <c r="AK906" s="524"/>
      <c r="AL906" s="529"/>
      <c r="AM906" s="529"/>
      <c r="AN906" s="529"/>
      <c r="AO906" s="529"/>
      <c r="AP906" s="529"/>
      <c r="AQ906" s="529"/>
      <c r="AR906" s="529"/>
      <c r="AS906" s="529"/>
      <c r="AT906" s="529"/>
      <c r="AU906" s="529"/>
      <c r="AV906" s="529"/>
      <c r="AW906" s="529"/>
      <c r="AX906" s="529"/>
      <c r="AY906" s="529"/>
      <c r="AZ906" s="524"/>
      <c r="BA906" s="524"/>
      <c r="BB906" s="530"/>
      <c r="BC906" s="524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2:79" x14ac:dyDescent="0.3">
      <c r="B907" s="500"/>
      <c r="C907" s="512"/>
      <c r="D907" s="503" t="s">
        <v>145</v>
      </c>
      <c r="E907" s="15"/>
      <c r="F907" s="15"/>
      <c r="G907" s="15"/>
      <c r="H907" s="16">
        <f>SUM(D140:D146)</f>
        <v>427527</v>
      </c>
      <c r="I907" s="15"/>
      <c r="J907" s="16">
        <f>+H907/7</f>
        <v>61075.285714285717</v>
      </c>
      <c r="K907" s="15"/>
      <c r="L907" s="15"/>
      <c r="M907" s="15"/>
      <c r="N907" s="15"/>
      <c r="O907" s="15"/>
      <c r="P907" s="513"/>
      <c r="V907" s="500"/>
      <c r="AJ907" s="98"/>
      <c r="AK907" s="98"/>
      <c r="AL907" s="98"/>
      <c r="AM907" s="98"/>
      <c r="AN907" s="98"/>
      <c r="AO907" s="98"/>
      <c r="AP907" s="98"/>
      <c r="AQ907" s="98"/>
      <c r="AR907" s="98"/>
      <c r="AS907" s="98"/>
      <c r="AT907" s="78"/>
      <c r="AU907" s="98"/>
      <c r="AV907" s="140"/>
      <c r="AW907" s="140"/>
      <c r="AX907" s="140"/>
      <c r="AY907" s="140"/>
      <c r="AZ907" s="98"/>
      <c r="BA907" s="98"/>
      <c r="BB907" s="98"/>
      <c r="BC907" s="98"/>
    </row>
    <row r="908" spans="2:79" x14ac:dyDescent="0.3">
      <c r="B908" s="506"/>
      <c r="C908" s="512"/>
      <c r="D908" s="503" t="s">
        <v>144</v>
      </c>
      <c r="E908" s="15"/>
      <c r="F908" s="15"/>
      <c r="G908" s="15"/>
      <c r="H908" s="16">
        <f>SUM(D147:D153)</f>
        <v>383516</v>
      </c>
      <c r="I908" s="15"/>
      <c r="J908" s="16">
        <f>+H908/7</f>
        <v>54788</v>
      </c>
      <c r="K908" s="15"/>
      <c r="L908" s="15"/>
      <c r="M908" s="15"/>
      <c r="N908" s="15"/>
      <c r="O908" s="518">
        <f>+H906-H908</f>
        <v>88465</v>
      </c>
      <c r="P908" s="513"/>
      <c r="V908" s="500"/>
      <c r="AA908">
        <f>+O908/7</f>
        <v>12637.857142857143</v>
      </c>
      <c r="AJ908" s="98"/>
      <c r="AK908" s="98"/>
      <c r="AL908" s="98"/>
      <c r="AM908" s="98"/>
      <c r="AN908" s="98"/>
      <c r="AO908" s="98"/>
      <c r="AP908" s="98"/>
      <c r="AQ908" s="98"/>
      <c r="AR908" s="98"/>
      <c r="AS908" s="98"/>
      <c r="AT908" s="98"/>
      <c r="AU908" s="98"/>
      <c r="AV908" s="78"/>
      <c r="AW908" s="78"/>
      <c r="AX908" s="78"/>
      <c r="AY908" s="78"/>
      <c r="AZ908" s="98"/>
      <c r="BA908" s="141"/>
      <c r="BB908" s="98"/>
      <c r="BC908" s="98"/>
    </row>
    <row r="909" spans="2:79" x14ac:dyDescent="0.3">
      <c r="B909" s="507"/>
      <c r="C909" s="512"/>
      <c r="D909" s="519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60">
        <f>+O908/H906</f>
        <v>0.18743339244588236</v>
      </c>
      <c r="P909" s="513"/>
      <c r="V909" s="500"/>
      <c r="X909" s="61"/>
      <c r="Y909" s="61"/>
      <c r="Z909" s="98"/>
      <c r="AA909" s="98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  <c r="AN909" s="98"/>
      <c r="AO909" s="98"/>
      <c r="AP909" s="78">
        <v>480454</v>
      </c>
      <c r="AQ909" s="98"/>
      <c r="AR909" s="98"/>
      <c r="AS909" s="98"/>
      <c r="AT909" s="98"/>
      <c r="AU909" s="98"/>
      <c r="AV909" s="98"/>
      <c r="AW909" s="98"/>
      <c r="AX909" s="98"/>
      <c r="AY909" s="98"/>
      <c r="AZ909" s="98"/>
      <c r="BA909" s="98"/>
      <c r="BB909" s="98"/>
      <c r="BC909" s="98"/>
    </row>
    <row r="910" spans="2:79" ht="15" thickBot="1" x14ac:dyDescent="0.35">
      <c r="B910" s="507"/>
      <c r="C910" s="520"/>
      <c r="D910" s="521"/>
      <c r="E910" s="521"/>
      <c r="F910" s="521"/>
      <c r="G910" s="521"/>
      <c r="H910" s="521"/>
      <c r="I910" s="521"/>
      <c r="J910" s="522"/>
      <c r="K910" s="521"/>
      <c r="L910" s="521"/>
      <c r="M910" s="521"/>
      <c r="N910" s="521"/>
      <c r="O910" s="521"/>
      <c r="P910" s="523"/>
      <c r="V910" s="500"/>
      <c r="X910" s="61"/>
      <c r="Y910" s="61"/>
      <c r="Z910" s="98"/>
      <c r="AA910" s="98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  <c r="AN910" s="98"/>
      <c r="AO910" s="98"/>
      <c r="AP910" s="140">
        <f>+N201</f>
        <v>290088</v>
      </c>
      <c r="AQ910" s="98"/>
      <c r="AR910" s="98"/>
      <c r="AS910" s="98"/>
      <c r="AT910" s="98"/>
      <c r="AU910" s="98"/>
      <c r="AV910" s="98"/>
      <c r="AW910" s="98"/>
      <c r="AX910" s="98"/>
      <c r="AY910" s="98"/>
      <c r="AZ910" s="98"/>
      <c r="BA910" s="98"/>
      <c r="BB910" s="98"/>
      <c r="BC910" s="98"/>
    </row>
    <row r="911" spans="2:79" x14ac:dyDescent="0.3">
      <c r="B911" s="507"/>
      <c r="C911" s="500"/>
      <c r="D911" s="508"/>
      <c r="E911" s="500"/>
      <c r="F911" s="500"/>
      <c r="G911" s="500"/>
      <c r="H911" s="509"/>
      <c r="I911" s="500"/>
      <c r="J911" s="500"/>
      <c r="K911" s="500"/>
      <c r="L911" s="500"/>
      <c r="M911" s="500"/>
      <c r="N911" s="500"/>
      <c r="O911" s="500"/>
      <c r="P911" s="500"/>
      <c r="Q911" s="500"/>
      <c r="R911" s="500"/>
      <c r="S911" s="500"/>
      <c r="T911" s="500"/>
      <c r="U911" s="500"/>
      <c r="V911" s="500"/>
      <c r="X911" s="61"/>
      <c r="Y911" s="61"/>
      <c r="Z911" s="98"/>
      <c r="AA911" s="98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  <c r="AN911" s="98"/>
      <c r="AO911" s="98"/>
      <c r="AP911" s="140">
        <f>+AP909-AP910</f>
        <v>190366</v>
      </c>
      <c r="AQ911" s="98"/>
      <c r="AR911" s="98"/>
    </row>
    <row r="912" spans="2:79" x14ac:dyDescent="0.3">
      <c r="B912" s="1"/>
      <c r="D912" s="55"/>
      <c r="X912" s="61"/>
      <c r="Y912" s="61"/>
      <c r="Z912" s="98"/>
      <c r="AA912" s="98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8"/>
      <c r="AM912" s="98"/>
      <c r="AN912" s="98"/>
      <c r="AO912" s="98"/>
      <c r="AP912" s="84">
        <f>+AP911/AP909</f>
        <v>0.3962210742339537</v>
      </c>
      <c r="AQ912" s="98"/>
      <c r="AR912" s="98"/>
    </row>
    <row r="913" spans="2:61" x14ac:dyDescent="0.3">
      <c r="B913" s="55"/>
      <c r="D913" s="55"/>
      <c r="J913" s="56">
        <f>+J906-J908</f>
        <v>12637.857142857145</v>
      </c>
      <c r="X913" s="61"/>
      <c r="Y913" s="61"/>
      <c r="Z913" s="98"/>
      <c r="AA913" s="98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  <c r="AN913" s="98"/>
      <c r="AO913" s="98"/>
      <c r="AP913" s="98"/>
      <c r="AQ913" s="98"/>
      <c r="AR913" s="98"/>
    </row>
    <row r="914" spans="2:61" x14ac:dyDescent="0.3">
      <c r="B914" s="57"/>
      <c r="D914" s="55"/>
      <c r="X914" s="61"/>
      <c r="Y914" s="61"/>
      <c r="Z914" s="98"/>
      <c r="AA914" s="98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  <c r="AN914" s="98"/>
      <c r="AO914" s="98"/>
      <c r="AP914" s="98"/>
      <c r="AQ914" s="98"/>
      <c r="AR914" s="98"/>
    </row>
    <row r="915" spans="2:61" x14ac:dyDescent="0.3">
      <c r="B915" s="1"/>
      <c r="D915" s="55"/>
      <c r="X915" s="61"/>
      <c r="Y915" s="61"/>
      <c r="Z915" s="98"/>
      <c r="AA915" s="98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  <c r="AN915" s="98"/>
      <c r="AO915" s="98"/>
      <c r="AP915" s="98"/>
      <c r="AQ915" s="98"/>
      <c r="AR915" s="98"/>
    </row>
    <row r="916" spans="2:61" x14ac:dyDescent="0.3">
      <c r="B916" s="1"/>
      <c r="D916" s="55"/>
      <c r="Z916" s="106"/>
      <c r="AA916" s="106"/>
      <c r="AB916" s="106"/>
      <c r="AC916" s="106"/>
      <c r="AD916" s="106"/>
      <c r="AE916" s="106"/>
      <c r="AF916" s="106"/>
      <c r="AG916" s="106"/>
      <c r="AH916" s="106"/>
      <c r="AI916" s="106"/>
      <c r="AJ916" s="106"/>
      <c r="AK916" s="106"/>
      <c r="AL916" s="106"/>
      <c r="AM916" s="106"/>
      <c r="AN916" s="106"/>
      <c r="AO916" s="106"/>
      <c r="AP916" s="106"/>
      <c r="AQ916" s="106"/>
      <c r="AR916" s="106"/>
    </row>
    <row r="917" spans="2:61" x14ac:dyDescent="0.3">
      <c r="B917" s="1"/>
      <c r="D917" s="55"/>
      <c r="AT917" s="500"/>
      <c r="AU917" s="500"/>
      <c r="AV917" s="500"/>
      <c r="AW917" s="500"/>
      <c r="AX917" s="500"/>
      <c r="AY917" s="500"/>
      <c r="AZ917" s="500"/>
      <c r="BA917" s="500"/>
      <c r="BB917" s="500"/>
      <c r="BC917" s="500"/>
      <c r="BD917" s="500"/>
      <c r="BE917" s="500"/>
      <c r="BF917" s="500"/>
      <c r="BG917" s="500"/>
      <c r="BH917" s="500"/>
      <c r="BI917" s="500"/>
    </row>
    <row r="918" spans="2:61" ht="15.6" x14ac:dyDescent="0.3">
      <c r="B918" s="1"/>
      <c r="D918" s="55"/>
      <c r="AT918" s="500"/>
      <c r="AU918" s="533"/>
      <c r="AV918" s="534"/>
      <c r="AW918" s="534"/>
      <c r="AX918" s="534"/>
      <c r="AY918" s="534"/>
      <c r="AZ918" s="534"/>
      <c r="BA918" s="534"/>
      <c r="BB918" s="534"/>
      <c r="BC918" s="534"/>
      <c r="BD918" s="534"/>
      <c r="BE918" s="534" t="s">
        <v>156</v>
      </c>
      <c r="BF918" s="534"/>
      <c r="BG918" s="534" t="s">
        <v>2</v>
      </c>
      <c r="BH918" s="533"/>
      <c r="BI918" s="500"/>
    </row>
    <row r="919" spans="2:61" ht="16.2" thickBot="1" x14ac:dyDescent="0.35">
      <c r="B919" s="57" t="e">
        <f>+B918/B917</f>
        <v>#DIV/0!</v>
      </c>
      <c r="D919" s="55"/>
      <c r="AT919" s="500"/>
      <c r="AU919" s="533"/>
      <c r="AV919" s="591" t="s">
        <v>155</v>
      </c>
      <c r="AW919" s="591"/>
      <c r="AX919" s="591"/>
      <c r="AY919" s="534"/>
      <c r="AZ919" s="534"/>
      <c r="BA919" s="535" t="s">
        <v>20</v>
      </c>
      <c r="BB919" s="534"/>
      <c r="BC919" s="535" t="s">
        <v>3</v>
      </c>
      <c r="BD919" s="534"/>
      <c r="BE919" s="535" t="s">
        <v>65</v>
      </c>
      <c r="BF919" s="534"/>
      <c r="BG919" s="535" t="s">
        <v>65</v>
      </c>
      <c r="BH919" s="533"/>
      <c r="BI919" s="500"/>
    </row>
    <row r="920" spans="2:61" ht="21" x14ac:dyDescent="0.4">
      <c r="B920" s="1"/>
      <c r="D920" s="55"/>
      <c r="AT920" s="500"/>
      <c r="AU920" s="533"/>
      <c r="AV920" s="536" t="s">
        <v>143</v>
      </c>
      <c r="AW920" s="533"/>
      <c r="AX920" s="537"/>
      <c r="AY920" s="533"/>
      <c r="AZ920" s="533"/>
      <c r="BA920" s="538">
        <f>+N143</f>
        <v>1970617</v>
      </c>
      <c r="BB920" s="537"/>
      <c r="BC920" s="537"/>
      <c r="BD920" s="537"/>
      <c r="BE920" s="537"/>
      <c r="BF920" s="537"/>
      <c r="BG920" s="537"/>
      <c r="BH920" s="533"/>
      <c r="BI920" s="500"/>
    </row>
    <row r="921" spans="2:61" ht="21" x14ac:dyDescent="0.4">
      <c r="B921" s="1"/>
      <c r="D921" s="55"/>
      <c r="AT921" s="500"/>
      <c r="AU921" s="533"/>
      <c r="AV921" s="536" t="s">
        <v>151</v>
      </c>
      <c r="AW921" s="533"/>
      <c r="AX921" s="537"/>
      <c r="AY921" s="533"/>
      <c r="AZ921" s="533"/>
      <c r="BA921" s="538">
        <f>+N174</f>
        <v>1493931</v>
      </c>
      <c r="BB921" s="537"/>
      <c r="BC921" s="538">
        <f>+BA921-BA920</f>
        <v>-476686</v>
      </c>
      <c r="BD921" s="537"/>
      <c r="BE921" s="539">
        <f>+BC921/BA920</f>
        <v>-0.24189682723735764</v>
      </c>
      <c r="BF921" s="537"/>
      <c r="BG921" s="537"/>
      <c r="BH921" s="533"/>
      <c r="BI921" s="500"/>
    </row>
    <row r="922" spans="2:61" ht="21" x14ac:dyDescent="0.4">
      <c r="B922" s="1">
        <f>+B918*50</f>
        <v>0</v>
      </c>
      <c r="D922" s="55"/>
      <c r="AT922" s="500"/>
      <c r="AU922" s="533"/>
      <c r="AV922" s="536" t="s">
        <v>152</v>
      </c>
      <c r="AW922" s="533"/>
      <c r="AX922" s="537"/>
      <c r="AY922" s="533"/>
      <c r="AZ922" s="533"/>
      <c r="BA922" s="538">
        <f>+N204</f>
        <v>1202331</v>
      </c>
      <c r="BB922" s="537"/>
      <c r="BC922" s="538">
        <f>+BA922-BA921</f>
        <v>-291600</v>
      </c>
      <c r="BD922" s="537"/>
      <c r="BE922" s="539">
        <f>+BC922/BA921</f>
        <v>-0.19518973767864781</v>
      </c>
      <c r="BF922" s="537"/>
      <c r="BG922" s="537"/>
      <c r="BH922" s="533"/>
      <c r="BI922" s="500"/>
    </row>
    <row r="923" spans="2:61" ht="21" x14ac:dyDescent="0.4">
      <c r="B923" s="1"/>
      <c r="D923" s="55"/>
      <c r="AT923" s="500"/>
      <c r="AU923" s="533"/>
      <c r="AV923" s="536" t="s">
        <v>153</v>
      </c>
      <c r="AW923" s="533"/>
      <c r="AX923" s="537"/>
      <c r="AY923" s="533"/>
      <c r="AZ923" s="540" t="s">
        <v>26</v>
      </c>
      <c r="BA923" s="538">
        <f>+N218</f>
        <v>371489</v>
      </c>
      <c r="BB923" s="537"/>
      <c r="BC923" s="538">
        <f>+BA923-BA922</f>
        <v>-830842</v>
      </c>
      <c r="BD923" s="537"/>
      <c r="BE923" s="539">
        <f>+BC923/BA922</f>
        <v>-0.69102601529861574</v>
      </c>
      <c r="BF923" s="537"/>
      <c r="BG923" s="539">
        <f>+(BA923-BA920)/BA920</f>
        <v>-0.81148594577231392</v>
      </c>
      <c r="BH923" s="533"/>
      <c r="BI923" s="500"/>
    </row>
    <row r="924" spans="2:61" x14ac:dyDescent="0.3">
      <c r="B924" s="1"/>
      <c r="D924" s="55"/>
      <c r="AT924" s="500"/>
      <c r="AU924" s="533"/>
      <c r="AV924" s="533"/>
      <c r="AW924" s="533"/>
      <c r="AX924" s="533"/>
      <c r="AY924" s="533"/>
      <c r="AZ924" s="533"/>
      <c r="BA924" s="533"/>
      <c r="BB924" s="533"/>
      <c r="BC924" s="533"/>
      <c r="BD924" s="533"/>
      <c r="BE924" s="533"/>
      <c r="BF924" s="533"/>
      <c r="BG924" s="533"/>
      <c r="BH924" s="533"/>
      <c r="BI924" s="500"/>
    </row>
    <row r="925" spans="2:61" ht="16.2" x14ac:dyDescent="0.3">
      <c r="B925" s="1"/>
      <c r="D925" s="55"/>
      <c r="AT925" s="500"/>
      <c r="AU925" s="533"/>
      <c r="AV925" s="533"/>
      <c r="AW925" s="533"/>
      <c r="AX925" s="541" t="s">
        <v>26</v>
      </c>
      <c r="AY925" s="533"/>
      <c r="AZ925" s="542" t="s">
        <v>154</v>
      </c>
      <c r="BA925" s="533"/>
      <c r="BB925" s="533"/>
      <c r="BC925" s="533"/>
      <c r="BD925" s="533"/>
      <c r="BE925" s="533"/>
      <c r="BF925" s="533"/>
      <c r="BG925" s="533"/>
      <c r="BH925" s="533"/>
      <c r="BI925" s="500"/>
    </row>
    <row r="926" spans="2:61" x14ac:dyDescent="0.3">
      <c r="B926" s="1"/>
      <c r="D926" s="55"/>
      <c r="AT926" s="500"/>
      <c r="AU926" s="533"/>
      <c r="AV926" s="533"/>
      <c r="AW926" s="533"/>
      <c r="AX926" s="533"/>
      <c r="AY926" s="533"/>
      <c r="AZ926" s="533"/>
      <c r="BA926" s="533"/>
      <c r="BB926" s="533"/>
      <c r="BC926" s="533"/>
      <c r="BD926" s="533"/>
      <c r="BE926" s="533"/>
      <c r="BF926" s="533"/>
      <c r="BG926" s="533"/>
      <c r="BH926" s="533"/>
      <c r="BI926" s="500"/>
    </row>
    <row r="927" spans="2:61" x14ac:dyDescent="0.3">
      <c r="B927" s="1"/>
      <c r="D927" s="55"/>
      <c r="AT927" s="532"/>
      <c r="AU927" s="532"/>
      <c r="AV927" s="532"/>
      <c r="AW927" s="532"/>
      <c r="AX927" s="532"/>
      <c r="AY927" s="532"/>
      <c r="AZ927" s="532"/>
      <c r="BA927" s="532"/>
      <c r="BB927" s="532"/>
      <c r="BC927" s="532"/>
      <c r="BD927" s="532"/>
      <c r="BE927" s="532"/>
      <c r="BF927" s="532"/>
      <c r="BG927" s="532"/>
      <c r="BH927" s="532"/>
      <c r="BI927" s="532"/>
    </row>
    <row r="928" spans="2:61" x14ac:dyDescent="0.3">
      <c r="B928" s="1"/>
      <c r="D928" s="55"/>
    </row>
    <row r="929" spans="2:61" x14ac:dyDescent="0.3">
      <c r="B929" s="1"/>
      <c r="D929" s="55"/>
      <c r="AS929" s="61"/>
      <c r="AT929" s="500"/>
      <c r="AU929" s="500"/>
      <c r="AV929" s="500"/>
      <c r="AW929" s="500"/>
      <c r="AX929" s="500"/>
      <c r="AY929" s="500"/>
      <c r="AZ929" s="500"/>
      <c r="BA929" s="500"/>
      <c r="BB929" s="500"/>
      <c r="BC929" s="500"/>
      <c r="BD929" s="500"/>
      <c r="BE929" s="500"/>
      <c r="BF929" s="500"/>
      <c r="BG929" s="500"/>
      <c r="BH929" s="500"/>
      <c r="BI929" s="500"/>
    </row>
    <row r="930" spans="2:61" x14ac:dyDescent="0.3">
      <c r="B930" s="1"/>
      <c r="D930" s="55"/>
      <c r="AT930" s="500"/>
      <c r="AU930" s="550"/>
      <c r="AV930" s="550"/>
      <c r="AW930" s="550"/>
      <c r="AX930" s="550"/>
      <c r="AY930" s="550"/>
      <c r="AZ930" s="550"/>
      <c r="BA930" s="550"/>
      <c r="BB930" s="550"/>
      <c r="BC930" s="550"/>
      <c r="BD930" s="550"/>
      <c r="BE930" s="550"/>
      <c r="BF930" s="550"/>
      <c r="BG930" s="550"/>
      <c r="BH930" s="550"/>
      <c r="BI930" s="500"/>
    </row>
    <row r="931" spans="2:61" ht="15" thickBot="1" x14ac:dyDescent="0.35">
      <c r="B931" s="1"/>
      <c r="D931" s="55"/>
      <c r="AT931" s="500"/>
      <c r="AU931" s="550"/>
      <c r="AV931" s="608" t="s">
        <v>160</v>
      </c>
      <c r="AW931" s="608"/>
      <c r="AX931" s="608"/>
      <c r="AY931" s="551"/>
      <c r="AZ931" s="551"/>
      <c r="BA931" s="552" t="s">
        <v>23</v>
      </c>
      <c r="BB931" s="553"/>
      <c r="BC931" s="552" t="s">
        <v>3</v>
      </c>
      <c r="BD931" s="553"/>
      <c r="BE931" s="552" t="s">
        <v>20</v>
      </c>
      <c r="BF931" s="553"/>
      <c r="BG931" s="552" t="s">
        <v>21</v>
      </c>
      <c r="BH931" s="550"/>
      <c r="BI931" s="500"/>
    </row>
    <row r="932" spans="2:61" x14ac:dyDescent="0.3">
      <c r="B932" s="1"/>
      <c r="AT932" s="500"/>
      <c r="AU932" s="550"/>
      <c r="AV932" s="551" t="s">
        <v>143</v>
      </c>
      <c r="AW932" s="551"/>
      <c r="AX932" s="551"/>
      <c r="AY932" s="551"/>
      <c r="AZ932" s="551"/>
      <c r="BA932" s="554">
        <f>+BK275</f>
        <v>13351981</v>
      </c>
      <c r="BB932" s="551"/>
      <c r="BC932" s="551"/>
      <c r="BD932" s="551"/>
      <c r="BE932" s="555">
        <f>+N143</f>
        <v>1970617</v>
      </c>
      <c r="BF932" s="551"/>
      <c r="BG932" s="556">
        <f>+BE932/BA932</f>
        <v>0.14758985951223269</v>
      </c>
      <c r="BH932" s="550"/>
      <c r="BI932" s="500"/>
    </row>
    <row r="933" spans="2:61" x14ac:dyDescent="0.3">
      <c r="B933" s="1"/>
      <c r="AT933" s="500"/>
      <c r="AU933" s="550"/>
      <c r="AV933" s="551"/>
      <c r="AW933" s="551"/>
      <c r="AX933" s="551"/>
      <c r="AY933" s="551"/>
      <c r="AZ933" s="551"/>
      <c r="BA933" s="554"/>
      <c r="BB933" s="551"/>
      <c r="BC933" s="551"/>
      <c r="BD933" s="551"/>
      <c r="BE933" s="551"/>
      <c r="BF933" s="551"/>
      <c r="BG933" s="556"/>
      <c r="BH933" s="550"/>
      <c r="BI933" s="500"/>
    </row>
    <row r="934" spans="2:61" x14ac:dyDescent="0.3">
      <c r="B934" s="1"/>
      <c r="AT934" s="500"/>
      <c r="AU934" s="550"/>
      <c r="AV934" s="551" t="s">
        <v>159</v>
      </c>
      <c r="AW934" s="551"/>
      <c r="AX934" s="551"/>
      <c r="AY934" s="551"/>
      <c r="AZ934" s="551"/>
      <c r="BA934" s="554">
        <v>52440389</v>
      </c>
      <c r="BB934" s="551"/>
      <c r="BC934" s="556">
        <f>+(BA934-BA932)/BA932</f>
        <v>2.9275362210296736</v>
      </c>
      <c r="BD934" s="551"/>
      <c r="BE934" s="555">
        <f>+N273</f>
        <v>1462688</v>
      </c>
      <c r="BF934" s="551"/>
      <c r="BG934" s="556">
        <f>+BE934/BA934</f>
        <v>2.7892394162064665E-2</v>
      </c>
      <c r="BH934" s="550"/>
      <c r="BI934" s="500"/>
    </row>
    <row r="935" spans="2:61" x14ac:dyDescent="0.3">
      <c r="B935" s="1"/>
      <c r="AT935" s="500"/>
      <c r="AU935" s="550"/>
      <c r="AV935" s="551"/>
      <c r="AW935" s="551"/>
      <c r="AX935" s="551"/>
      <c r="AY935" s="551"/>
      <c r="AZ935" s="551"/>
      <c r="BA935" s="554"/>
      <c r="BB935" s="551"/>
      <c r="BC935" s="551"/>
      <c r="BD935" s="551"/>
      <c r="BE935" s="551"/>
      <c r="BF935" s="551"/>
      <c r="BG935" s="551"/>
      <c r="BH935" s="550"/>
      <c r="BI935" s="500"/>
    </row>
    <row r="936" spans="2:61" x14ac:dyDescent="0.3">
      <c r="B936" s="1"/>
      <c r="AT936" s="500"/>
      <c r="AU936" s="550"/>
      <c r="AV936" s="588" t="s">
        <v>105</v>
      </c>
      <c r="AW936" s="588"/>
      <c r="AX936" s="588"/>
      <c r="AY936" s="588"/>
      <c r="AZ936" s="551"/>
      <c r="BA936" s="555">
        <f>+BA934-BA932</f>
        <v>39088408</v>
      </c>
      <c r="BB936" s="551"/>
      <c r="BC936" s="551"/>
      <c r="BD936" s="551"/>
      <c r="BE936" s="555">
        <f>+BE934-BE932</f>
        <v>-507929</v>
      </c>
      <c r="BF936" s="551"/>
      <c r="BG936" s="558"/>
      <c r="BH936" s="550"/>
      <c r="BI936" s="500"/>
    </row>
    <row r="937" spans="2:61" x14ac:dyDescent="0.3">
      <c r="B937" s="1"/>
      <c r="AT937" s="500"/>
      <c r="AU937" s="550"/>
      <c r="AV937" s="550"/>
      <c r="AW937" s="550"/>
      <c r="AX937" s="550"/>
      <c r="AY937" s="550"/>
      <c r="AZ937" s="550"/>
      <c r="BA937" s="550"/>
      <c r="BB937" s="550"/>
      <c r="BC937" s="550"/>
      <c r="BD937" s="550"/>
      <c r="BE937" s="550"/>
      <c r="BF937" s="550"/>
      <c r="BG937" s="550"/>
      <c r="BH937" s="550"/>
      <c r="BI937" s="500"/>
    </row>
    <row r="938" spans="2:61" x14ac:dyDescent="0.3">
      <c r="B938" s="1"/>
      <c r="AT938" s="500"/>
      <c r="AU938" s="500"/>
      <c r="AV938" s="500"/>
      <c r="AW938" s="500"/>
      <c r="AX938" s="500"/>
      <c r="AY938" s="500"/>
      <c r="AZ938" s="500"/>
      <c r="BA938" s="500"/>
      <c r="BB938" s="500"/>
      <c r="BC938" s="500"/>
      <c r="BD938" s="500"/>
      <c r="BE938" s="557"/>
      <c r="BF938" s="500"/>
      <c r="BG938" s="507"/>
      <c r="BH938" s="500"/>
      <c r="BI938" s="500"/>
    </row>
    <row r="939" spans="2:61" x14ac:dyDescent="0.3">
      <c r="B939" s="1"/>
    </row>
    <row r="940" spans="2:61" x14ac:dyDescent="0.3">
      <c r="B940" s="1"/>
    </row>
    <row r="941" spans="2:61" x14ac:dyDescent="0.3">
      <c r="B941" s="1"/>
      <c r="H941" s="1">
        <v>4000000</v>
      </c>
      <c r="AR941" s="500"/>
      <c r="AS941" s="500"/>
      <c r="AT941" s="500"/>
      <c r="AU941" s="500"/>
      <c r="AV941" s="500"/>
      <c r="AW941" s="500"/>
      <c r="AX941" s="500"/>
      <c r="AY941" s="500"/>
      <c r="AZ941" s="500"/>
      <c r="BA941" s="500"/>
      <c r="BB941" s="500"/>
      <c r="BC941" s="500"/>
      <c r="BD941" s="500"/>
      <c r="BE941" s="500"/>
      <c r="BF941" s="500"/>
      <c r="BG941" s="500"/>
      <c r="BH941" s="500"/>
      <c r="BI941" s="500"/>
    </row>
    <row r="942" spans="2:61" ht="15.6" x14ac:dyDescent="0.3">
      <c r="B942" s="1"/>
      <c r="H942" s="1"/>
      <c r="AR942" s="500"/>
      <c r="AS942" s="601" t="s">
        <v>170</v>
      </c>
      <c r="AT942" s="601"/>
      <c r="AU942" s="601"/>
      <c r="AV942" s="601"/>
      <c r="AW942" s="601"/>
      <c r="AX942" s="601"/>
      <c r="AY942" s="601"/>
      <c r="AZ942" s="601"/>
      <c r="BA942" s="601"/>
      <c r="BB942" s="601"/>
      <c r="BC942" s="601"/>
      <c r="BD942" s="601"/>
      <c r="BE942" s="601"/>
      <c r="BF942" s="601"/>
      <c r="BG942" s="601"/>
      <c r="BH942" s="601"/>
      <c r="BI942" s="500"/>
    </row>
    <row r="943" spans="2:61" x14ac:dyDescent="0.3">
      <c r="H943" s="1">
        <f>+H941/7</f>
        <v>571428.57142857148</v>
      </c>
      <c r="AR943" s="500"/>
      <c r="AS943" s="533"/>
      <c r="AT943" s="561"/>
      <c r="AU943" s="561"/>
      <c r="AV943" s="561"/>
      <c r="AW943" s="561"/>
      <c r="AX943" s="561"/>
      <c r="AY943" s="561"/>
      <c r="AZ943" s="561"/>
      <c r="BA943" s="561"/>
      <c r="BB943" s="561"/>
      <c r="BC943" s="561"/>
      <c r="BD943" s="561"/>
      <c r="BE943" s="589" t="s">
        <v>166</v>
      </c>
      <c r="BF943" s="561"/>
      <c r="BG943" s="597" t="s">
        <v>167</v>
      </c>
      <c r="BH943" s="533"/>
      <c r="BI943" s="500"/>
    </row>
    <row r="944" spans="2:61" x14ac:dyDescent="0.3">
      <c r="AR944" s="500"/>
      <c r="AS944" s="533"/>
      <c r="AT944" s="596" t="s">
        <v>19</v>
      </c>
      <c r="AU944" s="596"/>
      <c r="AV944" s="596"/>
      <c r="AW944" s="596"/>
      <c r="AX944" s="596"/>
      <c r="AY944" s="596"/>
      <c r="AZ944" s="561"/>
      <c r="BA944" s="560" t="s">
        <v>20</v>
      </c>
      <c r="BB944" s="561"/>
      <c r="BC944" s="560" t="s">
        <v>165</v>
      </c>
      <c r="BD944" s="561"/>
      <c r="BE944" s="590"/>
      <c r="BF944" s="561"/>
      <c r="BG944" s="593"/>
      <c r="BH944" s="533"/>
      <c r="BI944" s="500"/>
    </row>
    <row r="945" spans="4:72" x14ac:dyDescent="0.3">
      <c r="H945" t="s">
        <v>168</v>
      </c>
      <c r="J945">
        <v>28</v>
      </c>
      <c r="N945" s="1">
        <f>+H943*J945</f>
        <v>16000000.000000002</v>
      </c>
      <c r="AR945" s="500"/>
      <c r="AS945" s="533"/>
      <c r="AT945" s="595" t="s">
        <v>162</v>
      </c>
      <c r="AU945" s="595"/>
      <c r="AV945" s="595"/>
      <c r="AW945" s="595"/>
      <c r="AX945" s="595"/>
      <c r="AY945" s="561"/>
      <c r="AZ945" s="561"/>
      <c r="BA945" s="562">
        <f>+H174</f>
        <v>6826001</v>
      </c>
      <c r="BB945" s="561"/>
      <c r="BC945" s="561">
        <v>10</v>
      </c>
      <c r="BD945" s="561"/>
      <c r="BE945" s="563">
        <f>+BA945*BC945</f>
        <v>68260010</v>
      </c>
      <c r="BF945" s="561"/>
      <c r="BG945" s="561"/>
      <c r="BH945" s="533"/>
      <c r="BI945" s="500"/>
      <c r="BP945" s="56">
        <f>+BE945-BA945</f>
        <v>61434009</v>
      </c>
    </row>
    <row r="946" spans="4:72" x14ac:dyDescent="0.3">
      <c r="D946" s="56">
        <f>+N945+N946</f>
        <v>33714285.714285716</v>
      </c>
      <c r="H946" t="s">
        <v>169</v>
      </c>
      <c r="J946">
        <v>31</v>
      </c>
      <c r="N946" s="1">
        <f>+J946*H$943</f>
        <v>17714285.714285716</v>
      </c>
      <c r="AR946" s="500"/>
      <c r="AS946" s="533"/>
      <c r="AT946" s="595" t="s">
        <v>171</v>
      </c>
      <c r="AU946" s="595"/>
      <c r="AV946" s="595"/>
      <c r="AW946" s="595"/>
      <c r="AX946" s="595"/>
      <c r="AY946" s="561"/>
      <c r="AZ946" s="561"/>
      <c r="BA946" s="562">
        <f>+BA958-BA945</f>
        <v>3109228</v>
      </c>
      <c r="BB946" s="561"/>
      <c r="BC946" s="561">
        <v>5</v>
      </c>
      <c r="BD946" s="561"/>
      <c r="BE946" s="563">
        <f>+BA946*BC946</f>
        <v>15546140</v>
      </c>
      <c r="BF946" s="561"/>
      <c r="BG946" s="561"/>
      <c r="BH946" s="533"/>
      <c r="BI946" s="500"/>
      <c r="BP946" s="56">
        <f>+BE946-BA946</f>
        <v>12436912</v>
      </c>
    </row>
    <row r="947" spans="4:72" x14ac:dyDescent="0.3">
      <c r="D947" s="56">
        <f>+D946+N947</f>
        <v>50857142.857142866</v>
      </c>
      <c r="H947" t="s">
        <v>138</v>
      </c>
      <c r="J947">
        <v>30</v>
      </c>
      <c r="N947" s="1">
        <f>+J947*H$943</f>
        <v>17142857.142857146</v>
      </c>
      <c r="AR947" s="500"/>
      <c r="AS947" s="533"/>
      <c r="AT947" s="595" t="s">
        <v>163</v>
      </c>
      <c r="AU947" s="595"/>
      <c r="AV947" s="595"/>
      <c r="AW947" s="595"/>
      <c r="AX947" s="595"/>
      <c r="AY947" s="595"/>
      <c r="AZ947" s="595"/>
      <c r="BA947" s="562">
        <f>+BA960-BA958</f>
        <v>16784558</v>
      </c>
      <c r="BB947" s="561"/>
      <c r="BC947" s="561">
        <v>1</v>
      </c>
      <c r="BD947" s="561"/>
      <c r="BE947" s="563">
        <f>+BC947*BA947</f>
        <v>16784558</v>
      </c>
      <c r="BF947" s="561"/>
      <c r="BG947" s="561"/>
      <c r="BH947" s="533"/>
      <c r="BI947" s="500"/>
      <c r="BP947" s="56">
        <f>+BE947-BA947</f>
        <v>0</v>
      </c>
    </row>
    <row r="948" spans="4:72" x14ac:dyDescent="0.3">
      <c r="D948" s="56">
        <f>+D947+N948</f>
        <v>68571428.571428582</v>
      </c>
      <c r="H948" t="s">
        <v>139</v>
      </c>
      <c r="J948">
        <v>31</v>
      </c>
      <c r="N948" s="1">
        <f>+J948*H$943</f>
        <v>17714285.714285716</v>
      </c>
      <c r="AR948" s="500"/>
      <c r="AS948" s="533"/>
      <c r="AT948" s="569" t="s">
        <v>183</v>
      </c>
      <c r="AU948" s="561"/>
      <c r="AV948" s="561"/>
      <c r="AW948" s="561"/>
      <c r="AX948" s="561"/>
      <c r="AY948" s="561"/>
      <c r="AZ948" s="561"/>
      <c r="BA948" s="562">
        <f>SUM(D328:D386)</f>
        <v>4197929</v>
      </c>
      <c r="BB948" s="561"/>
      <c r="BC948" s="561">
        <v>1</v>
      </c>
      <c r="BD948" s="561"/>
      <c r="BE948" s="563">
        <f>+BC948*BA948</f>
        <v>4197929</v>
      </c>
      <c r="BF948" s="561"/>
      <c r="BG948" s="561"/>
      <c r="BH948" s="533"/>
      <c r="BI948" s="500"/>
      <c r="BP948" s="56">
        <f>+BE948-BA948</f>
        <v>0</v>
      </c>
    </row>
    <row r="949" spans="4:72" x14ac:dyDescent="0.3">
      <c r="D949" s="56"/>
      <c r="N949" s="1"/>
      <c r="AR949" s="500"/>
      <c r="AS949" s="533"/>
      <c r="AT949" s="569" t="s">
        <v>188</v>
      </c>
      <c r="AU949" s="561"/>
      <c r="AV949" s="561"/>
      <c r="AW949" s="561"/>
      <c r="AX949" s="561"/>
      <c r="AY949" s="561"/>
      <c r="AZ949" s="561"/>
      <c r="BA949" s="562">
        <f>SUM(D387:D509)</f>
        <v>4225210</v>
      </c>
      <c r="BB949" s="561"/>
      <c r="BC949" s="561">
        <v>1</v>
      </c>
      <c r="BD949" s="561"/>
      <c r="BE949" s="563">
        <f>+BC949*BA949</f>
        <v>4225210</v>
      </c>
      <c r="BF949" s="561"/>
      <c r="BG949" s="561"/>
      <c r="BH949" s="533"/>
      <c r="BI949" s="500"/>
      <c r="BP949" s="56"/>
    </row>
    <row r="950" spans="4:72" x14ac:dyDescent="0.3">
      <c r="AR950" s="500"/>
      <c r="AS950" s="533"/>
      <c r="AT950" s="595" t="s">
        <v>189</v>
      </c>
      <c r="AU950" s="595"/>
      <c r="AV950" s="595"/>
      <c r="AW950" s="595"/>
      <c r="AX950" s="595"/>
      <c r="AY950" s="595"/>
      <c r="AZ950" s="595"/>
      <c r="BA950" s="585">
        <f>SUM(D510:D635)</f>
        <v>11511436</v>
      </c>
      <c r="BB950" s="561"/>
      <c r="BC950" s="561"/>
      <c r="BD950" s="561"/>
      <c r="BE950" s="563"/>
      <c r="BF950" s="561"/>
      <c r="BG950" s="561"/>
      <c r="BH950" s="533"/>
      <c r="BI950" s="500"/>
      <c r="BP950" s="56">
        <f>+BA948-BA949</f>
        <v>-27281</v>
      </c>
    </row>
    <row r="951" spans="4:72" ht="15" thickBot="1" x14ac:dyDescent="0.35">
      <c r="D951" s="56">
        <f>+BE951+D948</f>
        <v>177585275.5714286</v>
      </c>
      <c r="H951" s="59">
        <f>+D951/320000000</f>
        <v>0.55495398616071434</v>
      </c>
      <c r="AR951" s="500"/>
      <c r="AS951" s="533"/>
      <c r="AT951" s="561"/>
      <c r="AU951" s="561"/>
      <c r="AV951" s="561"/>
      <c r="AW951" s="561"/>
      <c r="AX951" s="561"/>
      <c r="AY951" s="561"/>
      <c r="AZ951" s="561"/>
      <c r="BA951" s="564">
        <f>SUM(BA945:BA950)</f>
        <v>46654362</v>
      </c>
      <c r="BB951" s="561"/>
      <c r="BC951" s="561"/>
      <c r="BD951" s="561"/>
      <c r="BE951" s="564">
        <f>SUM(BE945:BE950)</f>
        <v>109013847</v>
      </c>
      <c r="BF951" s="561"/>
      <c r="BG951" s="565">
        <f>+BE951/320000000</f>
        <v>0.34066827187499998</v>
      </c>
      <c r="BH951" s="533"/>
      <c r="BI951" s="500"/>
      <c r="BP951" s="59">
        <f>+BP950/BA948</f>
        <v>-6.4986806589630271E-3</v>
      </c>
    </row>
    <row r="952" spans="4:72" ht="15" thickTop="1" x14ac:dyDescent="0.3">
      <c r="D952" s="56"/>
      <c r="H952" s="59"/>
      <c r="AR952" s="500"/>
      <c r="AS952" s="533"/>
      <c r="AT952" s="575" t="s">
        <v>185</v>
      </c>
      <c r="AU952" s="561"/>
      <c r="AV952" s="561"/>
      <c r="AW952" s="561"/>
      <c r="AX952" s="561"/>
      <c r="AY952" s="561"/>
      <c r="AZ952" s="561"/>
      <c r="BA952" s="484">
        <f>+BY972</f>
        <v>0.61144144144144141</v>
      </c>
      <c r="BB952" s="561"/>
      <c r="BC952" s="561"/>
      <c r="BD952" s="561"/>
      <c r="BE952" s="574"/>
      <c r="BF952" s="561"/>
      <c r="BG952" s="484"/>
      <c r="BH952" s="533"/>
      <c r="BI952" s="500"/>
      <c r="BP952" s="59"/>
    </row>
    <row r="953" spans="4:72" x14ac:dyDescent="0.3">
      <c r="D953" s="56"/>
      <c r="H953" s="59"/>
      <c r="AR953" s="500"/>
      <c r="AS953" s="533"/>
      <c r="AT953" s="575" t="s">
        <v>187</v>
      </c>
      <c r="AU953" s="561"/>
      <c r="AV953" s="561"/>
      <c r="AW953" s="561"/>
      <c r="AX953" s="561"/>
      <c r="AY953" s="561"/>
      <c r="AZ953" s="561"/>
      <c r="BA953" s="576">
        <f>+BA951*BA952</f>
        <v>28526410.350810811</v>
      </c>
      <c r="BB953" s="561"/>
      <c r="BC953" s="561"/>
      <c r="BD953" s="561"/>
      <c r="BE953" s="574"/>
      <c r="BF953" s="561"/>
      <c r="BG953" s="484"/>
      <c r="BH953" s="533"/>
      <c r="BI953" s="500"/>
      <c r="BP953" s="59"/>
    </row>
    <row r="954" spans="4:72" ht="15" thickBot="1" x14ac:dyDescent="0.35">
      <c r="D954" s="56"/>
      <c r="H954" s="59"/>
      <c r="AR954" s="500"/>
      <c r="AS954" s="533"/>
      <c r="AT954" s="575" t="s">
        <v>186</v>
      </c>
      <c r="AU954" s="561"/>
      <c r="AV954" s="561"/>
      <c r="AW954" s="561"/>
      <c r="AX954" s="561"/>
      <c r="AY954" s="561"/>
      <c r="AZ954" s="561"/>
      <c r="BA954" s="564">
        <f>+BA951-BA953</f>
        <v>18127951.649189189</v>
      </c>
      <c r="BB954" s="561"/>
      <c r="BC954" s="561"/>
      <c r="BD954" s="561"/>
      <c r="BE954" s="574"/>
      <c r="BF954" s="561"/>
      <c r="BG954" s="484"/>
      <c r="BH954" s="533"/>
      <c r="BI954" s="500"/>
      <c r="BP954" s="59"/>
    </row>
    <row r="955" spans="4:72" ht="15" thickTop="1" x14ac:dyDescent="0.3">
      <c r="AR955" s="500"/>
      <c r="AS955" s="533"/>
      <c r="AT955" s="561"/>
      <c r="AU955" s="561"/>
      <c r="AV955" s="561"/>
      <c r="AW955" s="561"/>
      <c r="AX955" s="561"/>
      <c r="AY955" s="561"/>
      <c r="AZ955" s="561"/>
      <c r="BA955" s="561"/>
      <c r="BB955" s="561"/>
      <c r="BC955" s="561"/>
      <c r="BD955" s="561"/>
      <c r="BE955" s="561"/>
      <c r="BF955" s="561"/>
      <c r="BG955" s="561"/>
      <c r="BH955" s="533"/>
      <c r="BI955" s="500"/>
      <c r="BP955">
        <v>35761323</v>
      </c>
      <c r="BR955" s="56">
        <f>+BA951-BP955</f>
        <v>10893039</v>
      </c>
    </row>
    <row r="956" spans="4:72" x14ac:dyDescent="0.3">
      <c r="AR956" s="500"/>
      <c r="AS956" s="500"/>
      <c r="AT956" s="500"/>
      <c r="AU956" s="500"/>
      <c r="AV956" s="500"/>
      <c r="AW956" s="500"/>
      <c r="AX956" s="500"/>
      <c r="AY956" s="500"/>
      <c r="AZ956" s="500"/>
      <c r="BA956" s="500"/>
      <c r="BB956" s="500"/>
      <c r="BC956" s="500"/>
      <c r="BD956" s="500"/>
      <c r="BE956" s="500"/>
      <c r="BF956" s="500"/>
      <c r="BG956" s="500"/>
      <c r="BH956" s="500"/>
      <c r="BI956" s="500"/>
    </row>
    <row r="957" spans="4:72" x14ac:dyDescent="0.3">
      <c r="BP957" s="587">
        <v>221538504.58886749</v>
      </c>
      <c r="BQ957" s="598"/>
      <c r="BR957" s="598"/>
      <c r="BS957" s="598"/>
      <c r="BT957" s="598"/>
    </row>
    <row r="958" spans="4:72" x14ac:dyDescent="0.3">
      <c r="AV958" t="s">
        <v>153</v>
      </c>
      <c r="BA958" s="56">
        <f>+H235</f>
        <v>9935229</v>
      </c>
    </row>
    <row r="960" spans="4:72" x14ac:dyDescent="0.3">
      <c r="AV960" t="s">
        <v>164</v>
      </c>
      <c r="BA960" s="56">
        <f>+H327</f>
        <v>26719787</v>
      </c>
    </row>
    <row r="961" spans="44:90" x14ac:dyDescent="0.3">
      <c r="BA961" s="56"/>
    </row>
    <row r="962" spans="44:90" x14ac:dyDescent="0.3">
      <c r="AR962" s="500"/>
      <c r="AS962" s="500"/>
      <c r="AT962" s="500"/>
      <c r="AU962" s="500"/>
      <c r="AV962" s="500"/>
      <c r="AW962" s="500"/>
      <c r="AX962" s="500"/>
      <c r="AY962" s="500"/>
      <c r="AZ962" s="500"/>
      <c r="BA962" s="557"/>
      <c r="BB962" s="500"/>
      <c r="BC962" s="500"/>
      <c r="BD962" s="500"/>
      <c r="BE962" s="500"/>
      <c r="BF962" s="500"/>
      <c r="BG962" s="500"/>
      <c r="BH962" s="500"/>
      <c r="BI962" s="500"/>
      <c r="BJ962" s="500"/>
      <c r="BK962" s="500"/>
      <c r="BL962" s="500"/>
      <c r="BM962" s="500"/>
      <c r="BN962" s="500"/>
      <c r="BO962" s="500"/>
      <c r="BP962" s="500"/>
      <c r="BQ962" s="500"/>
      <c r="BR962" s="500"/>
      <c r="BS962" s="500"/>
      <c r="BT962" s="500"/>
      <c r="BU962" s="500"/>
      <c r="BV962" s="500"/>
      <c r="BW962" s="500"/>
    </row>
    <row r="963" spans="44:90" ht="14.4" customHeight="1" x14ac:dyDescent="0.3">
      <c r="AR963" s="500"/>
      <c r="AS963" s="533"/>
      <c r="AT963" s="596" t="s">
        <v>176</v>
      </c>
      <c r="AU963" s="596"/>
      <c r="AV963" s="596"/>
      <c r="AW963" s="596"/>
      <c r="AX963" s="596"/>
      <c r="AY963" s="596"/>
      <c r="AZ963" s="596"/>
      <c r="BA963" s="596"/>
      <c r="BB963" s="596"/>
      <c r="BC963" s="596"/>
      <c r="BD963" s="596"/>
      <c r="BE963" s="596"/>
      <c r="BF963" s="596"/>
      <c r="BG963" s="596"/>
      <c r="BH963" s="596"/>
      <c r="BI963" s="596"/>
      <c r="BJ963" s="596"/>
      <c r="BK963" s="596"/>
      <c r="BL963" s="596"/>
      <c r="BM963" s="596"/>
      <c r="BN963" s="596"/>
      <c r="BO963" s="596"/>
      <c r="BP963" s="596"/>
      <c r="BQ963" s="596"/>
      <c r="BR963" s="596"/>
      <c r="BS963" s="596"/>
      <c r="BT963" s="596"/>
      <c r="BU963" s="596"/>
      <c r="BV963" s="596"/>
      <c r="BW963" s="500"/>
    </row>
    <row r="964" spans="44:90" ht="14.4" customHeight="1" x14ac:dyDescent="0.3">
      <c r="AR964" s="500"/>
      <c r="AS964" s="533"/>
      <c r="AT964" s="533"/>
      <c r="AU964" s="533"/>
      <c r="AV964" s="533"/>
      <c r="AW964" s="533"/>
      <c r="AX964" s="533"/>
      <c r="AY964" s="533"/>
      <c r="AZ964" s="533"/>
      <c r="BA964" s="604" t="s">
        <v>172</v>
      </c>
      <c r="BB964" s="604"/>
      <c r="BC964" s="604"/>
      <c r="BD964" s="604"/>
      <c r="BE964" s="604"/>
      <c r="BF964" s="561"/>
      <c r="BG964" s="596" t="s">
        <v>180</v>
      </c>
      <c r="BH964" s="596"/>
      <c r="BI964" s="596"/>
      <c r="BJ964" s="596"/>
      <c r="BK964" s="596"/>
      <c r="BL964" s="596"/>
      <c r="BM964" s="596"/>
      <c r="BN964" s="596"/>
      <c r="BO964" s="596"/>
      <c r="BP964" s="596"/>
      <c r="BQ964" s="533"/>
      <c r="BR964" s="592" t="s">
        <v>176</v>
      </c>
      <c r="BS964" s="592"/>
      <c r="BT964" s="592"/>
      <c r="BU964" s="592"/>
      <c r="BV964" s="592"/>
      <c r="BW964" s="500"/>
    </row>
    <row r="965" spans="44:90" x14ac:dyDescent="0.3">
      <c r="AR965" s="500"/>
      <c r="AS965" s="533"/>
      <c r="AT965" s="533"/>
      <c r="AU965" s="533"/>
      <c r="AV965" s="533"/>
      <c r="AW965" s="533"/>
      <c r="AX965" s="533"/>
      <c r="AY965" s="533"/>
      <c r="AZ965" s="533"/>
      <c r="BA965" s="570" t="s">
        <v>177</v>
      </c>
      <c r="BB965" s="571"/>
      <c r="BC965" s="572" t="s">
        <v>182</v>
      </c>
      <c r="BD965" s="571"/>
      <c r="BE965" s="572" t="s">
        <v>178</v>
      </c>
      <c r="BF965" s="561"/>
      <c r="BG965" s="570"/>
      <c r="BH965" s="571"/>
      <c r="BI965" s="606"/>
      <c r="BJ965" s="606"/>
      <c r="BK965" s="606"/>
      <c r="BL965" s="606"/>
      <c r="BM965" s="606"/>
      <c r="BN965" s="606"/>
      <c r="BO965" s="473"/>
      <c r="BP965" s="572"/>
      <c r="BQ965" s="533"/>
      <c r="BR965" s="593"/>
      <c r="BS965" s="593"/>
      <c r="BT965" s="593"/>
      <c r="BU965" s="593"/>
      <c r="BV965" s="593"/>
      <c r="BW965" s="500"/>
    </row>
    <row r="966" spans="44:90" x14ac:dyDescent="0.3">
      <c r="AR966" s="500"/>
      <c r="AS966" s="533"/>
      <c r="AT966" s="533"/>
      <c r="AU966" s="533"/>
      <c r="AV966" s="533"/>
      <c r="AW966" s="533"/>
      <c r="AX966" s="533"/>
      <c r="AY966" s="533"/>
      <c r="AZ966" s="533"/>
      <c r="BA966" s="568" t="s">
        <v>173</v>
      </c>
      <c r="BB966" s="566"/>
      <c r="BC966" s="568" t="s">
        <v>175</v>
      </c>
      <c r="BD966" s="566"/>
      <c r="BE966" s="568" t="s">
        <v>174</v>
      </c>
      <c r="BF966" s="561"/>
      <c r="BG966" s="567" t="s">
        <v>180</v>
      </c>
      <c r="BH966" s="561"/>
      <c r="BI966" s="605" t="s">
        <v>184</v>
      </c>
      <c r="BJ966" s="605"/>
      <c r="BK966" s="605"/>
      <c r="BL966" s="605"/>
      <c r="BM966" s="605"/>
      <c r="BN966" s="605"/>
      <c r="BO966" s="561"/>
      <c r="BP966" s="568" t="s">
        <v>181</v>
      </c>
      <c r="BQ966" s="533"/>
      <c r="BR966" s="594" t="s">
        <v>179</v>
      </c>
      <c r="BS966" s="594"/>
      <c r="BT966" s="594"/>
      <c r="BU966" s="594"/>
      <c r="BV966" s="594"/>
      <c r="BW966" s="500"/>
    </row>
    <row r="967" spans="44:90" x14ac:dyDescent="0.3">
      <c r="AR967" s="500"/>
      <c r="AS967" s="533"/>
      <c r="AT967" s="595" t="s">
        <v>162</v>
      </c>
      <c r="AU967" s="595"/>
      <c r="AV967" s="595"/>
      <c r="AW967" s="595"/>
      <c r="AX967" s="595"/>
      <c r="AY967" s="561"/>
      <c r="AZ967" s="561"/>
      <c r="BA967" s="562">
        <f>+BA945</f>
        <v>6826001</v>
      </c>
      <c r="BB967" s="561"/>
      <c r="BC967" s="562">
        <f>+BE967-BA967</f>
        <v>61434009</v>
      </c>
      <c r="BD967" s="561"/>
      <c r="BE967" s="562">
        <f>+BE945</f>
        <v>68260010</v>
      </c>
      <c r="BF967" s="533"/>
      <c r="BG967" s="563">
        <v>0</v>
      </c>
      <c r="BH967" s="563"/>
      <c r="BI967" s="563"/>
      <c r="BJ967" s="563"/>
      <c r="BK967" s="563"/>
      <c r="BL967" s="563"/>
      <c r="BM967" s="563"/>
      <c r="BN967" s="563">
        <f>+BG967</f>
        <v>0</v>
      </c>
      <c r="BO967" s="563"/>
      <c r="BP967" s="563">
        <f>+BN967*0.5</f>
        <v>0</v>
      </c>
      <c r="BQ967" s="561"/>
      <c r="BR967" s="587">
        <f t="shared" ref="BR967:BR972" si="4072">+BE967+BP967</f>
        <v>68260010</v>
      </c>
      <c r="BS967" s="598"/>
      <c r="BT967" s="598"/>
      <c r="BU967" s="598"/>
      <c r="BV967" s="598"/>
      <c r="BW967" s="500"/>
      <c r="CA967" s="56">
        <f>+BR967</f>
        <v>68260010</v>
      </c>
    </row>
    <row r="968" spans="44:90" x14ac:dyDescent="0.3">
      <c r="AR968" s="500"/>
      <c r="AS968" s="533"/>
      <c r="AT968" s="595" t="s">
        <v>171</v>
      </c>
      <c r="AU968" s="595"/>
      <c r="AV968" s="595"/>
      <c r="AW968" s="595"/>
      <c r="AX968" s="595"/>
      <c r="AY968" s="561"/>
      <c r="AZ968" s="561"/>
      <c r="BA968" s="562">
        <f>+BA967+BA946</f>
        <v>9935229</v>
      </c>
      <c r="BB968" s="561"/>
      <c r="BC968" s="562">
        <f>+BE968-BA968</f>
        <v>73870921</v>
      </c>
      <c r="BD968" s="561"/>
      <c r="BE968" s="562">
        <f>+BE967+BE946</f>
        <v>83806150</v>
      </c>
      <c r="BF968" s="533"/>
      <c r="BG968" s="563">
        <v>0</v>
      </c>
      <c r="BH968" s="563"/>
      <c r="BI968" s="563"/>
      <c r="BJ968" s="563"/>
      <c r="BK968" s="563"/>
      <c r="BL968" s="563"/>
      <c r="BM968" s="563"/>
      <c r="BN968" s="563">
        <f>+BN967+BG968</f>
        <v>0</v>
      </c>
      <c r="BO968" s="563"/>
      <c r="BP968" s="563">
        <f>+BN968*0.5</f>
        <v>0</v>
      </c>
      <c r="BQ968" s="561"/>
      <c r="BR968" s="587">
        <f t="shared" si="4072"/>
        <v>83806150</v>
      </c>
      <c r="BS968" s="598"/>
      <c r="BT968" s="598"/>
      <c r="BU968" s="598"/>
      <c r="BV968" s="598"/>
      <c r="BW968" s="500"/>
    </row>
    <row r="969" spans="44:90" x14ac:dyDescent="0.3">
      <c r="AR969" s="500"/>
      <c r="AS969" s="533"/>
      <c r="AT969" s="595" t="s">
        <v>163</v>
      </c>
      <c r="AU969" s="595"/>
      <c r="AV969" s="595"/>
      <c r="AW969" s="595"/>
      <c r="AX969" s="595"/>
      <c r="AY969" s="595"/>
      <c r="AZ969" s="595"/>
      <c r="BA969" s="562">
        <f>+BA968+BA947</f>
        <v>26719787</v>
      </c>
      <c r="BB969" s="561"/>
      <c r="BC969" s="562">
        <f>(+BE969-BA969)*(1-0.2)</f>
        <v>59096736.800000004</v>
      </c>
      <c r="BD969" s="561"/>
      <c r="BE969" s="562">
        <f>+BE968+BE947</f>
        <v>100590708</v>
      </c>
      <c r="BF969" s="533"/>
      <c r="BG969" s="563">
        <f>13400000+5660000</f>
        <v>19060000</v>
      </c>
      <c r="BH969" s="563"/>
      <c r="BI969" s="599"/>
      <c r="BJ969" s="599"/>
      <c r="BK969" s="599"/>
      <c r="BL969" s="599"/>
      <c r="BM969" s="599"/>
      <c r="BN969" s="599"/>
      <c r="BO969" s="563"/>
      <c r="BP969" s="563">
        <f>+BG969</f>
        <v>19060000</v>
      </c>
      <c r="BQ969" s="561"/>
      <c r="BR969" s="587">
        <f t="shared" si="4072"/>
        <v>119650708</v>
      </c>
      <c r="BS969" s="598"/>
      <c r="BT969" s="598"/>
      <c r="BU969" s="598"/>
      <c r="BV969" s="598"/>
      <c r="BW969" s="500"/>
    </row>
    <row r="970" spans="44:90" x14ac:dyDescent="0.3">
      <c r="AR970" s="500"/>
      <c r="AS970" s="533"/>
      <c r="AT970" s="569" t="s">
        <v>183</v>
      </c>
      <c r="AU970" s="561"/>
      <c r="AV970" s="561"/>
      <c r="AW970" s="561"/>
      <c r="AX970" s="561"/>
      <c r="AY970" s="561"/>
      <c r="AZ970" s="561"/>
      <c r="BA970" s="562">
        <f>+BA969+BA948</f>
        <v>30917716</v>
      </c>
      <c r="BB970" s="561"/>
      <c r="BC970" s="562">
        <f>(+BE970-BA970)*(1-0.34)</f>
        <v>48754807.859999992</v>
      </c>
      <c r="BD970" s="561"/>
      <c r="BE970" s="562">
        <f>+BE969+BE948</f>
        <v>104788637</v>
      </c>
      <c r="BF970" s="533"/>
      <c r="BG970" s="563">
        <f>53420000-BG969</f>
        <v>34360000</v>
      </c>
      <c r="BH970" s="563"/>
      <c r="BI970" s="599"/>
      <c r="BJ970" s="599"/>
      <c r="BK970" s="599"/>
      <c r="BL970" s="599"/>
      <c r="BM970" s="599"/>
      <c r="BN970" s="599"/>
      <c r="BO970" s="563"/>
      <c r="BP970" s="563">
        <f>+BP969+BG970</f>
        <v>53420000</v>
      </c>
      <c r="BQ970" s="561"/>
      <c r="BR970" s="587">
        <f t="shared" si="4072"/>
        <v>158208637</v>
      </c>
      <c r="BS970" s="598"/>
      <c r="BT970" s="598"/>
      <c r="BU970" s="598"/>
      <c r="BV970" s="598"/>
      <c r="BW970" s="500"/>
    </row>
    <row r="971" spans="44:90" x14ac:dyDescent="0.3">
      <c r="AR971" s="500"/>
      <c r="AS971" s="533"/>
      <c r="AT971" s="569" t="s">
        <v>188</v>
      </c>
      <c r="AU971" s="561"/>
      <c r="AV971" s="561"/>
      <c r="AW971" s="561"/>
      <c r="AX971" s="561"/>
      <c r="AY971" s="561"/>
      <c r="AZ971" s="561"/>
      <c r="BA971" s="562">
        <v>17702720</v>
      </c>
      <c r="BB971" s="561"/>
      <c r="BC971" s="562">
        <v>36659557</v>
      </c>
      <c r="BD971" s="561"/>
      <c r="BE971" s="562">
        <f>+BA971+BC971</f>
        <v>54362277</v>
      </c>
      <c r="BF971" s="533"/>
      <c r="BG971" s="563">
        <f>164760000-BP970</f>
        <v>111340000</v>
      </c>
      <c r="BH971" s="563"/>
      <c r="BI971" s="599"/>
      <c r="BJ971" s="599"/>
      <c r="BK971" s="599"/>
      <c r="BL971" s="599"/>
      <c r="BM971" s="599"/>
      <c r="BN971" s="599"/>
      <c r="BO971" s="563"/>
      <c r="BP971" s="563">
        <f>+BP970+BG971</f>
        <v>164760000</v>
      </c>
      <c r="BQ971" s="561"/>
      <c r="BR971" s="587">
        <f t="shared" si="4072"/>
        <v>219122277</v>
      </c>
      <c r="BS971" s="598"/>
      <c r="BT971" s="598"/>
      <c r="BU971" s="598"/>
      <c r="BV971" s="598"/>
      <c r="BW971" s="500"/>
      <c r="CL971" s="1">
        <v>333000000</v>
      </c>
    </row>
    <row r="972" spans="44:90" x14ac:dyDescent="0.3">
      <c r="AR972" s="500"/>
      <c r="AS972" s="533"/>
      <c r="AT972" s="569" t="s">
        <v>189</v>
      </c>
      <c r="AU972" s="561"/>
      <c r="AV972" s="561"/>
      <c r="AW972" s="561"/>
      <c r="AX972" s="561"/>
      <c r="AY972" s="561"/>
      <c r="AZ972" s="561"/>
      <c r="BA972" s="562">
        <f>+BA954</f>
        <v>18127951.649189189</v>
      </c>
      <c r="BB972" s="561"/>
      <c r="BC972" s="562">
        <f>+BC968*BY972</f>
        <v>45167742.416846842</v>
      </c>
      <c r="BD972" s="561"/>
      <c r="BE972" s="562">
        <f>+BA972+BC972</f>
        <v>63295694.066036031</v>
      </c>
      <c r="BF972" s="533"/>
      <c r="BG972" s="563">
        <f>203610000-BP971</f>
        <v>38850000</v>
      </c>
      <c r="BH972" s="563"/>
      <c r="BI972" s="599"/>
      <c r="BJ972" s="599"/>
      <c r="BK972" s="599"/>
      <c r="BL972" s="599"/>
      <c r="BM972" s="599"/>
      <c r="BN972" s="599"/>
      <c r="BO972" s="563"/>
      <c r="BP972" s="563">
        <f>+BP971+BG972</f>
        <v>203610000</v>
      </c>
      <c r="BQ972" s="561"/>
      <c r="BR972" s="587">
        <f t="shared" si="4072"/>
        <v>266905694.06603605</v>
      </c>
      <c r="BS972" s="587"/>
      <c r="BT972" s="587"/>
      <c r="BU972" s="587"/>
      <c r="BV972" s="587"/>
      <c r="BW972" s="500"/>
      <c r="BY972" s="59">
        <f>+BP972/CL971</f>
        <v>0.61144144144144141</v>
      </c>
      <c r="CL972" s="1"/>
    </row>
    <row r="973" spans="44:90" x14ac:dyDescent="0.3">
      <c r="AR973" s="500"/>
      <c r="AS973" s="500"/>
      <c r="AT973" s="500"/>
      <c r="AU973" s="500"/>
      <c r="AV973" s="500"/>
      <c r="AW973" s="500"/>
      <c r="AX973" s="500"/>
      <c r="AY973" s="500"/>
      <c r="AZ973" s="500"/>
      <c r="BA973" s="500"/>
      <c r="BB973" s="500"/>
      <c r="BC973" s="500"/>
      <c r="BD973" s="500"/>
      <c r="BE973" s="500"/>
      <c r="BF973" s="500"/>
      <c r="BG973" s="500"/>
      <c r="BH973" s="500"/>
      <c r="BI973" s="500"/>
      <c r="BJ973" s="500"/>
      <c r="BK973" s="500"/>
      <c r="BL973" s="500"/>
      <c r="BM973" s="500"/>
      <c r="BN973" s="500"/>
      <c r="BO973" s="500"/>
      <c r="BP973" s="500"/>
      <c r="BQ973" s="500"/>
      <c r="BR973" s="500"/>
      <c r="BS973" s="500"/>
      <c r="BT973" s="500"/>
      <c r="BU973" s="500"/>
      <c r="BV973" s="500"/>
      <c r="BW973" s="500"/>
      <c r="CL973" s="59">
        <f>+BR972/CL971</f>
        <v>0.80151860079890702</v>
      </c>
    </row>
    <row r="975" spans="44:90" x14ac:dyDescent="0.3">
      <c r="BA975" s="56">
        <f>+BR971+BA953</f>
        <v>247648687.35081083</v>
      </c>
      <c r="BC975" s="59">
        <f>+BA975/CL971</f>
        <v>0.74368975180423669</v>
      </c>
      <c r="BE975" s="56"/>
      <c r="BG975" s="1">
        <v>202530000</v>
      </c>
      <c r="BP975" s="1">
        <f>+(BP972-BP971)/2</f>
        <v>19425000</v>
      </c>
      <c r="CL975" s="56">
        <f>+CL971-BR971</f>
        <v>113877723</v>
      </c>
    </row>
    <row r="976" spans="44:90" x14ac:dyDescent="0.3">
      <c r="BG976" s="56">
        <f>+BP972-BG975</f>
        <v>1080000</v>
      </c>
      <c r="BP976" s="56">
        <v>1800000</v>
      </c>
    </row>
    <row r="977" spans="42:90" ht="15" thickBot="1" x14ac:dyDescent="0.35">
      <c r="BP977" s="578">
        <f>+BP975-BP976</f>
        <v>17625000</v>
      </c>
    </row>
    <row r="978" spans="42:90" ht="15" thickTop="1" x14ac:dyDescent="0.3">
      <c r="CL978" s="59">
        <f>+BP971/CL971</f>
        <v>0.49477477477477477</v>
      </c>
    </row>
    <row r="980" spans="42:90" x14ac:dyDescent="0.3">
      <c r="BE980" s="500"/>
      <c r="BF980" s="500"/>
      <c r="BG980" s="500"/>
      <c r="BH980" s="500"/>
      <c r="BI980" s="500"/>
      <c r="BJ980" s="500"/>
      <c r="BK980" s="500"/>
      <c r="BL980" s="500"/>
      <c r="BM980" s="500"/>
      <c r="BN980" s="500"/>
      <c r="BO980" s="500"/>
      <c r="BP980" s="500"/>
      <c r="BQ980" s="500"/>
      <c r="BR980" s="500"/>
      <c r="BS980" s="500"/>
      <c r="BT980" s="500"/>
      <c r="BU980" s="500"/>
      <c r="BV980" s="500"/>
      <c r="BW980" s="500"/>
      <c r="BX980" s="500"/>
      <c r="BY980" s="500"/>
    </row>
    <row r="981" spans="42:90" x14ac:dyDescent="0.3">
      <c r="BE981" s="500"/>
      <c r="BF981" s="500"/>
      <c r="BG981" s="500"/>
      <c r="BH981" s="500"/>
      <c r="BI981" s="500"/>
      <c r="BJ981" s="500"/>
      <c r="BK981" s="500"/>
      <c r="BL981" s="500"/>
      <c r="BM981" s="500"/>
      <c r="BN981" s="500"/>
      <c r="BO981" s="500"/>
      <c r="BP981" s="500"/>
      <c r="BQ981" s="500"/>
      <c r="BR981" s="500"/>
      <c r="BS981" s="500"/>
      <c r="BT981" s="500"/>
      <c r="BU981" s="500"/>
      <c r="BV981" s="500"/>
      <c r="BW981" s="500"/>
      <c r="BX981" s="500"/>
      <c r="BY981" s="500"/>
    </row>
    <row r="982" spans="42:90" x14ac:dyDescent="0.3">
      <c r="AP982" s="1">
        <v>1500000</v>
      </c>
      <c r="BE982" s="500"/>
      <c r="BF982" s="500"/>
      <c r="BG982" s="500"/>
      <c r="BH982" s="500"/>
      <c r="BI982" s="500"/>
      <c r="BJ982" s="500"/>
      <c r="BK982" s="500"/>
      <c r="BL982" s="500"/>
      <c r="BM982" s="500"/>
      <c r="BN982" s="500"/>
      <c r="BO982" s="500"/>
      <c r="BP982" s="500"/>
      <c r="BQ982" s="500"/>
      <c r="BR982" s="500"/>
      <c r="BS982" s="500"/>
      <c r="BT982" s="500"/>
      <c r="BU982" s="500"/>
      <c r="BV982" s="500"/>
      <c r="BW982" s="500"/>
      <c r="BX982" s="500"/>
      <c r="BY982" s="500"/>
    </row>
    <row r="983" spans="42:90" x14ac:dyDescent="0.3">
      <c r="AP983">
        <v>7</v>
      </c>
      <c r="BE983" s="500"/>
      <c r="BY983" s="500"/>
      <c r="CL983">
        <v>177090000</v>
      </c>
    </row>
    <row r="984" spans="42:90" x14ac:dyDescent="0.3">
      <c r="AP984" s="1">
        <f>+AP982*AP983</f>
        <v>10500000</v>
      </c>
      <c r="BE984" s="500"/>
      <c r="BY984" s="500"/>
      <c r="CL984" s="231">
        <f>+CL983/CL971</f>
        <v>0.53180180180180181</v>
      </c>
    </row>
    <row r="985" spans="42:90" x14ac:dyDescent="0.3">
      <c r="BE985" s="500"/>
      <c r="BY985" s="500"/>
    </row>
    <row r="986" spans="42:90" x14ac:dyDescent="0.3">
      <c r="BE986" s="500"/>
      <c r="BY986" s="500"/>
    </row>
    <row r="987" spans="42:90" x14ac:dyDescent="0.3">
      <c r="BE987" s="500"/>
      <c r="BY987" s="500"/>
      <c r="CL987" s="56">
        <f>+BR971+27420000</f>
        <v>246542277</v>
      </c>
    </row>
    <row r="988" spans="42:90" x14ac:dyDescent="0.3">
      <c r="BE988" s="500"/>
      <c r="BY988" s="500"/>
    </row>
    <row r="989" spans="42:90" x14ac:dyDescent="0.3">
      <c r="BE989" s="500"/>
      <c r="BY989" s="500"/>
      <c r="CL989" s="59">
        <f>+CL987/CL971</f>
        <v>0.74036719819819818</v>
      </c>
    </row>
    <row r="990" spans="42:90" x14ac:dyDescent="0.3">
      <c r="BE990" s="500"/>
      <c r="BY990" s="500"/>
    </row>
    <row r="991" spans="42:90" x14ac:dyDescent="0.3">
      <c r="BE991" s="500"/>
      <c r="BY991" s="500"/>
    </row>
    <row r="992" spans="42:90" x14ac:dyDescent="0.3">
      <c r="BE992" s="500"/>
      <c r="BY992" s="500"/>
    </row>
    <row r="993" spans="57:77" x14ac:dyDescent="0.3">
      <c r="BE993" s="500"/>
      <c r="BY993" s="500"/>
    </row>
    <row r="994" spans="57:77" x14ac:dyDescent="0.3">
      <c r="BE994" s="500"/>
      <c r="BY994" s="500"/>
    </row>
    <row r="995" spans="57:77" x14ac:dyDescent="0.3">
      <c r="BE995" s="500"/>
      <c r="BY995" s="500"/>
    </row>
    <row r="996" spans="57:77" x14ac:dyDescent="0.3">
      <c r="BE996" s="500"/>
      <c r="BF996" s="500"/>
      <c r="BG996" s="500"/>
      <c r="BH996" s="500"/>
      <c r="BI996" s="500"/>
      <c r="BJ996" s="500"/>
      <c r="BK996" s="500"/>
      <c r="BL996" s="500"/>
      <c r="BM996" s="500"/>
      <c r="BN996" s="500"/>
      <c r="BO996" s="500"/>
      <c r="BP996" s="500"/>
      <c r="BQ996" s="500"/>
      <c r="BR996" s="500"/>
      <c r="BS996" s="500"/>
      <c r="BT996" s="500"/>
      <c r="BU996" s="500"/>
      <c r="BV996" s="500"/>
      <c r="BW996" s="500"/>
      <c r="BX996" s="500"/>
      <c r="BY996" s="500"/>
    </row>
    <row r="997" spans="57:77" x14ac:dyDescent="0.3">
      <c r="BE997" s="500"/>
      <c r="BF997" s="500"/>
      <c r="BG997" s="500"/>
      <c r="BH997" s="500"/>
      <c r="BI997" s="500"/>
      <c r="BJ997" s="500"/>
      <c r="BK997" s="500"/>
      <c r="BL997" s="500"/>
      <c r="BM997" s="500"/>
      <c r="BN997" s="500"/>
      <c r="BO997" s="500"/>
      <c r="BP997" s="500"/>
      <c r="BQ997" s="500"/>
      <c r="BR997" s="500"/>
      <c r="BS997" s="500"/>
      <c r="BT997" s="500"/>
      <c r="BU997" s="500"/>
      <c r="BV997" s="500"/>
      <c r="BW997" s="500"/>
      <c r="BX997" s="500"/>
      <c r="BY997" s="500"/>
    </row>
    <row r="998" spans="57:77" x14ac:dyDescent="0.3">
      <c r="BE998" s="500"/>
      <c r="BF998" s="500"/>
      <c r="BG998" s="500"/>
      <c r="BH998" s="500"/>
      <c r="BI998" s="500"/>
      <c r="BJ998" s="500"/>
      <c r="BK998" s="500"/>
      <c r="BL998" s="500"/>
      <c r="BM998" s="500"/>
      <c r="BN998" s="500"/>
      <c r="BO998" s="500"/>
      <c r="BP998" s="500"/>
      <c r="BQ998" s="500"/>
      <c r="BR998" s="500"/>
      <c r="BS998" s="500"/>
      <c r="BT998" s="500"/>
      <c r="BU998" s="500"/>
      <c r="BV998" s="500"/>
      <c r="BW998" s="500"/>
      <c r="BX998" s="500"/>
      <c r="BY998" s="500"/>
    </row>
    <row r="999" spans="57:77" x14ac:dyDescent="0.3">
      <c r="BE999" s="500"/>
      <c r="BF999" s="500"/>
      <c r="BG999" s="500"/>
      <c r="BH999" s="500"/>
      <c r="BI999" s="500"/>
      <c r="BJ999" s="500"/>
      <c r="BK999" s="500"/>
      <c r="BL999" s="500"/>
      <c r="BM999" s="500"/>
      <c r="BN999" s="500"/>
      <c r="BO999" s="500"/>
      <c r="BP999" s="500"/>
      <c r="BQ999" s="500"/>
      <c r="BR999" s="500"/>
      <c r="BS999" s="500"/>
      <c r="BT999" s="500"/>
      <c r="BU999" s="500"/>
      <c r="BV999" s="500"/>
      <c r="BW999" s="500"/>
      <c r="BX999" s="500"/>
      <c r="BY999" s="500"/>
    </row>
    <row r="1000" spans="57:77" x14ac:dyDescent="0.3">
      <c r="BE1000" s="500"/>
      <c r="BF1000" s="500"/>
      <c r="BG1000" s="500"/>
      <c r="BH1000" s="500"/>
      <c r="BI1000" s="500"/>
      <c r="BJ1000" s="500"/>
      <c r="BK1000" s="500"/>
      <c r="BL1000" s="500"/>
      <c r="BM1000" s="500"/>
      <c r="BN1000" s="500"/>
      <c r="BO1000" s="500"/>
      <c r="BP1000" s="500"/>
      <c r="BQ1000" s="500"/>
      <c r="BR1000" s="500"/>
      <c r="BS1000" s="500"/>
      <c r="BT1000" s="500"/>
      <c r="BU1000" s="500"/>
      <c r="BV1000" s="500"/>
      <c r="BW1000" s="500"/>
      <c r="BX1000" s="500"/>
      <c r="BY1000" s="500"/>
    </row>
    <row r="1001" spans="57:77" x14ac:dyDescent="0.3">
      <c r="BE1001" s="500"/>
      <c r="BF1001" s="500"/>
      <c r="BG1001" s="500"/>
      <c r="BH1001" s="500"/>
      <c r="BI1001" s="500"/>
      <c r="BJ1001" s="500"/>
      <c r="BK1001" s="500"/>
      <c r="BL1001" s="500"/>
      <c r="BM1001" s="500"/>
      <c r="BN1001" s="500"/>
      <c r="BO1001" s="500"/>
      <c r="BP1001" s="500"/>
      <c r="BQ1001" s="500"/>
      <c r="BR1001" s="500"/>
      <c r="BS1001" s="500"/>
      <c r="BT1001" s="500"/>
      <c r="BU1001" s="500"/>
      <c r="BV1001" s="500"/>
      <c r="BW1001" s="500"/>
      <c r="BX1001" s="500"/>
      <c r="BY1001" s="500"/>
    </row>
    <row r="1002" spans="57:77" x14ac:dyDescent="0.3">
      <c r="BE1002" s="500"/>
      <c r="BF1002" s="500"/>
      <c r="BG1002" s="500"/>
      <c r="BH1002" s="500"/>
      <c r="BI1002" s="500"/>
      <c r="BJ1002" s="500"/>
      <c r="BK1002" s="500"/>
      <c r="BL1002" s="500"/>
      <c r="BM1002" s="500"/>
      <c r="BN1002" s="500"/>
      <c r="BO1002" s="500"/>
      <c r="BP1002" s="500"/>
      <c r="BQ1002" s="500"/>
      <c r="BR1002" s="500"/>
      <c r="BS1002" s="500"/>
      <c r="BT1002" s="500"/>
      <c r="BU1002" s="500"/>
      <c r="BV1002" s="500"/>
      <c r="BW1002" s="500"/>
      <c r="BX1002" s="500"/>
      <c r="BY1002" s="500"/>
    </row>
    <row r="1003" spans="57:77" x14ac:dyDescent="0.3">
      <c r="BE1003" s="500"/>
      <c r="BF1003" s="500"/>
      <c r="BG1003" s="500"/>
      <c r="BH1003" s="500"/>
      <c r="BI1003" s="500"/>
      <c r="BJ1003" s="500"/>
      <c r="BK1003" s="500"/>
      <c r="BL1003" s="500"/>
      <c r="BM1003" s="500"/>
      <c r="BN1003" s="500"/>
      <c r="BO1003" s="500"/>
      <c r="BP1003" s="500"/>
      <c r="BQ1003" s="500"/>
      <c r="BR1003" s="500"/>
      <c r="BS1003" s="500"/>
      <c r="BT1003" s="500"/>
      <c r="BU1003" s="500"/>
      <c r="BV1003" s="500"/>
      <c r="BW1003" s="500"/>
      <c r="BX1003" s="500"/>
      <c r="BY1003" s="500"/>
    </row>
  </sheetData>
  <mergeCells count="60">
    <mergeCell ref="BR968:BV968"/>
    <mergeCell ref="BR969:BV969"/>
    <mergeCell ref="BR971:BV971"/>
    <mergeCell ref="BI970:BN970"/>
    <mergeCell ref="BR970:BV970"/>
    <mergeCell ref="BI969:BN969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872:AN872"/>
    <mergeCell ref="AK882:AN882"/>
    <mergeCell ref="AV931:AX931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871:AV871"/>
    <mergeCell ref="AK873:AN873"/>
    <mergeCell ref="AK874:AN874"/>
    <mergeCell ref="AK875:AN875"/>
    <mergeCell ref="AK876:AN876"/>
    <mergeCell ref="AS942:BH942"/>
    <mergeCell ref="H904:J904"/>
    <mergeCell ref="AK881:AN881"/>
    <mergeCell ref="BI972:BN972"/>
    <mergeCell ref="AT967:AX967"/>
    <mergeCell ref="AT968:AX968"/>
    <mergeCell ref="AT969:AZ969"/>
    <mergeCell ref="BA964:BE964"/>
    <mergeCell ref="BG964:BP964"/>
    <mergeCell ref="BI966:BN966"/>
    <mergeCell ref="BI965:BN965"/>
    <mergeCell ref="BR972:BV972"/>
    <mergeCell ref="AV936:AY936"/>
    <mergeCell ref="BE943:BE944"/>
    <mergeCell ref="AV919:AX919"/>
    <mergeCell ref="BR964:BV965"/>
    <mergeCell ref="BR966:BV966"/>
    <mergeCell ref="AT946:AX946"/>
    <mergeCell ref="AT950:AZ950"/>
    <mergeCell ref="AT944:AY944"/>
    <mergeCell ref="AT947:AZ947"/>
    <mergeCell ref="AT963:BV963"/>
    <mergeCell ref="BG943:BG944"/>
    <mergeCell ref="AT945:AX945"/>
    <mergeCell ref="BP957:BT957"/>
    <mergeCell ref="BI971:BN971"/>
    <mergeCell ref="BR967:BV967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877:AP879 AR877:AR87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870"/>
  <sheetViews>
    <sheetView topLeftCell="A827"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2.109375" customWidth="1"/>
    <col min="7" max="7" width="11" bestFit="1" customWidth="1"/>
    <col min="8" max="8" width="1.88671875" customWidth="1"/>
    <col min="9" max="9" width="10" bestFit="1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1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40" t="s">
        <v>7</v>
      </c>
      <c r="F7" s="641"/>
      <c r="G7" s="645">
        <v>0.7</v>
      </c>
      <c r="H7" s="645"/>
      <c r="I7" s="645"/>
      <c r="J7" s="645"/>
      <c r="K7" s="645"/>
      <c r="L7" s="645"/>
      <c r="M7" s="645"/>
      <c r="N7" s="645"/>
      <c r="O7" s="645"/>
      <c r="P7" s="645"/>
      <c r="Q7" s="645"/>
      <c r="R7" s="645"/>
      <c r="S7" s="645"/>
      <c r="T7" s="645"/>
      <c r="U7" s="646"/>
    </row>
    <row r="8" spans="3:40" x14ac:dyDescent="0.3">
      <c r="E8" s="642" t="s">
        <v>110</v>
      </c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3"/>
      <c r="U8" s="644"/>
    </row>
    <row r="9" spans="3:40" x14ac:dyDescent="0.3">
      <c r="E9" s="660" t="s">
        <v>35</v>
      </c>
      <c r="F9" s="661"/>
      <c r="G9" s="661"/>
      <c r="H9" s="661"/>
      <c r="I9" s="661"/>
      <c r="J9" s="661"/>
      <c r="K9" s="661"/>
      <c r="L9" s="661"/>
      <c r="M9" s="661"/>
      <c r="N9" s="661"/>
      <c r="O9" s="661"/>
      <c r="P9" s="662"/>
      <c r="Q9" s="658" t="s">
        <v>103</v>
      </c>
      <c r="R9" s="5"/>
      <c r="S9" s="655" t="s">
        <v>4</v>
      </c>
      <c r="T9" s="656"/>
      <c r="U9" s="657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9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52" t="s">
        <v>46</v>
      </c>
      <c r="AE14" s="653"/>
      <c r="AF14" s="654"/>
      <c r="AG14" s="193"/>
      <c r="AH14" s="650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51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+K858</f>
        <v>9027132</v>
      </c>
      <c r="AG16" s="187"/>
      <c r="AH16" s="201">
        <f>+AJ31</f>
        <v>28348.976921404952</v>
      </c>
      <c r="AI16" s="201"/>
      <c r="AJ16" s="202">
        <f>+S858</f>
        <v>114963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1936447</v>
      </c>
      <c r="AG17" s="188"/>
      <c r="AH17" s="149">
        <v>28095</v>
      </c>
      <c r="AI17" s="201"/>
      <c r="AJ17" s="148">
        <v>21035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3018129</v>
      </c>
      <c r="AG18" s="188"/>
      <c r="AH18" s="149">
        <v>23575</v>
      </c>
      <c r="AI18" s="201"/>
      <c r="AJ18" s="148">
        <v>45821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13981708</v>
      </c>
      <c r="AG19" s="188"/>
      <c r="AH19" s="188"/>
      <c r="AI19" s="188"/>
      <c r="AJ19" s="206">
        <f>SUM(AJ16:AJ18)</f>
        <v>181819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Table'!H858</f>
        <v>0.18117534824016973</v>
      </c>
      <c r="AG21" s="188"/>
      <c r="AH21" s="188"/>
      <c r="AI21" s="188"/>
      <c r="AJ21" s="208">
        <f>+AJ19/'Main Table'!AA858</f>
        <v>0.20096448451033014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52" t="s">
        <v>120</v>
      </c>
      <c r="AB25" s="653"/>
      <c r="AC25" s="653"/>
      <c r="AD25" s="653"/>
      <c r="AE25" s="653"/>
      <c r="AF25" s="653"/>
      <c r="AG25" s="653"/>
      <c r="AH25" s="653"/>
      <c r="AI25" s="653"/>
      <c r="AJ25" s="653"/>
      <c r="AK25" s="654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+E858</f>
        <v>5668645</v>
      </c>
      <c r="AE27" s="155"/>
      <c r="AF27" s="186">
        <v>29139</v>
      </c>
      <c r="AG27" s="155"/>
      <c r="AH27" s="177">
        <f>+AD27/AD$31</f>
        <v>0.51704329398274051</v>
      </c>
      <c r="AI27" s="177"/>
      <c r="AJ27" s="155">
        <f>+AF27*AH27</f>
        <v>15066.124543363076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+G858</f>
        <v>2520736</v>
      </c>
      <c r="AE28" s="155"/>
      <c r="AF28" s="186">
        <v>28380</v>
      </c>
      <c r="AG28" s="155"/>
      <c r="AH28" s="177">
        <f>+AD28/AD$31</f>
        <v>0.22991908025654761</v>
      </c>
      <c r="AI28" s="177"/>
      <c r="AJ28" s="155">
        <f>+AF28*AH28</f>
        <v>6525.1034976808214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+I858</f>
        <v>837751</v>
      </c>
      <c r="AE29" s="155"/>
      <c r="AF29" s="186">
        <v>23497</v>
      </c>
      <c r="AG29" s="155"/>
      <c r="AH29" s="177">
        <f>+AD29/AD$31</f>
        <v>7.6412182554620164E-2</v>
      </c>
      <c r="AI29" s="177"/>
      <c r="AJ29" s="155">
        <f>+AF29*AH29</f>
        <v>1795.4570534859099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1936447</v>
      </c>
      <c r="AE30" s="237"/>
      <c r="AF30" s="155">
        <f>+AH17</f>
        <v>28095</v>
      </c>
      <c r="AG30" s="237"/>
      <c r="AH30" s="177">
        <f>+AD30/AD$31</f>
        <v>0.17662544320609172</v>
      </c>
      <c r="AI30" s="237"/>
      <c r="AJ30" s="155">
        <f>+AF30*AH30</f>
        <v>4962.2918268751473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10963579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28348.976921404952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47" t="s">
        <v>29</v>
      </c>
      <c r="AB36" s="648"/>
      <c r="AC36" s="648"/>
      <c r="AD36" s="648"/>
      <c r="AE36" s="648"/>
      <c r="AF36" s="648"/>
      <c r="AG36" s="648"/>
      <c r="AH36" s="648"/>
      <c r="AI36" s="649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Table'!AA858</f>
        <v>904732</v>
      </c>
      <c r="AJ49" s="56">
        <f>+AJ19</f>
        <v>181819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181819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722913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303623.45999999996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419289.54000000004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0.46344059898400858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507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:K472" si="80">SUM(E441:I441)</f>
        <v>3457181</v>
      </c>
      <c r="L441" s="6"/>
      <c r="M441" s="438">
        <f t="shared" ref="M441:M472" si="81">+(K441-K440)/K440</f>
        <v>4.1930334875505391E-4</v>
      </c>
      <c r="N441" s="29"/>
      <c r="O441" s="29"/>
      <c r="P441" s="29"/>
      <c r="Q441" s="332">
        <f t="shared" ref="Q441:Q472" si="82">+K441-K440</f>
        <v>1449</v>
      </c>
      <c r="R441" s="6"/>
      <c r="S441" s="7">
        <f>53164+26100+8219</f>
        <v>87483</v>
      </c>
      <c r="T441" s="6"/>
      <c r="U441" s="243">
        <f t="shared" ref="U441:U472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si="80"/>
        <v>3458671</v>
      </c>
      <c r="L442" s="6"/>
      <c r="M442" s="438">
        <f t="shared" si="81"/>
        <v>4.3098698043290181E-4</v>
      </c>
      <c r="N442" s="29"/>
      <c r="O442" s="29"/>
      <c r="P442" s="29"/>
      <c r="Q442" s="332">
        <f t="shared" si="82"/>
        <v>1490</v>
      </c>
      <c r="R442" s="6"/>
      <c r="S442" s="7">
        <f>53181+26124+8221</f>
        <v>87526</v>
      </c>
      <c r="T442" s="6"/>
      <c r="U442" s="243">
        <f t="shared" si="83"/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si="80"/>
        <v>3460052</v>
      </c>
      <c r="L443" s="6"/>
      <c r="M443" s="438">
        <f t="shared" si="81"/>
        <v>3.9928631546625858E-4</v>
      </c>
      <c r="N443" s="29"/>
      <c r="O443" s="29"/>
      <c r="P443" s="29"/>
      <c r="Q443" s="332">
        <f t="shared" si="82"/>
        <v>1381</v>
      </c>
      <c r="R443" s="6"/>
      <c r="S443" s="7">
        <f>53208+26159+8227</f>
        <v>87594</v>
      </c>
      <c r="T443" s="6"/>
      <c r="U443" s="243">
        <f t="shared" si="83"/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si="80"/>
        <v>3461751</v>
      </c>
      <c r="L444" s="6"/>
      <c r="M444" s="438">
        <f t="shared" si="81"/>
        <v>4.9103308273979699E-4</v>
      </c>
      <c r="N444" s="29"/>
      <c r="O444" s="29"/>
      <c r="P444" s="29"/>
      <c r="Q444" s="332">
        <f t="shared" si="82"/>
        <v>1699</v>
      </c>
      <c r="R444" s="6"/>
      <c r="S444" s="7">
        <f>53229+26173+8230</f>
        <v>87632</v>
      </c>
      <c r="T444" s="6"/>
      <c r="U444" s="243">
        <f t="shared" si="83"/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si="80"/>
        <v>3463158</v>
      </c>
      <c r="L445" s="6"/>
      <c r="M445" s="438">
        <f t="shared" si="81"/>
        <v>4.0644171114560232E-4</v>
      </c>
      <c r="N445" s="29"/>
      <c r="O445" s="29"/>
      <c r="P445" s="29"/>
      <c r="Q445" s="332">
        <f t="shared" si="82"/>
        <v>1407</v>
      </c>
      <c r="R445" s="6"/>
      <c r="S445" s="7">
        <f>53255+26185+8238</f>
        <v>87678</v>
      </c>
      <c r="T445" s="6"/>
      <c r="U445" s="243">
        <f t="shared" si="83"/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si="80"/>
        <v>3464285</v>
      </c>
      <c r="L446" s="6"/>
      <c r="M446" s="438">
        <f t="shared" si="81"/>
        <v>3.2542552202354034E-4</v>
      </c>
      <c r="N446" s="29"/>
      <c r="O446" s="29"/>
      <c r="P446" s="29"/>
      <c r="Q446" s="332">
        <f t="shared" si="82"/>
        <v>1127</v>
      </c>
      <c r="R446" s="6"/>
      <c r="S446" s="7">
        <f>53269+26201+8238</f>
        <v>87708</v>
      </c>
      <c r="T446" s="6"/>
      <c r="U446" s="243">
        <f t="shared" si="83"/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si="80"/>
        <v>3465351</v>
      </c>
      <c r="L447" s="6"/>
      <c r="M447" s="438">
        <f t="shared" si="81"/>
        <v>3.0771140365183582E-4</v>
      </c>
      <c r="N447" s="29"/>
      <c r="O447" s="29"/>
      <c r="P447" s="29"/>
      <c r="Q447" s="332">
        <f t="shared" si="82"/>
        <v>1066</v>
      </c>
      <c r="R447" s="6"/>
      <c r="S447" s="7">
        <f>53285+26207+8238</f>
        <v>87730</v>
      </c>
      <c r="T447" s="6"/>
      <c r="U447" s="243">
        <f t="shared" si="83"/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si="80"/>
        <v>3466077</v>
      </c>
      <c r="L448" s="6"/>
      <c r="M448" s="438">
        <f t="shared" si="81"/>
        <v>2.0950258718380909E-4</v>
      </c>
      <c r="N448" s="29"/>
      <c r="O448" s="29"/>
      <c r="P448" s="29"/>
      <c r="Q448" s="332">
        <f t="shared" si="82"/>
        <v>726</v>
      </c>
      <c r="R448" s="6"/>
      <c r="S448" s="7">
        <f>53303+26212+8238</f>
        <v>87753</v>
      </c>
      <c r="T448" s="6"/>
      <c r="U448" s="243">
        <f t="shared" si="83"/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si="80"/>
        <v>3466922</v>
      </c>
      <c r="L449" s="6"/>
      <c r="M449" s="438">
        <f t="shared" si="81"/>
        <v>2.4379146799104578E-4</v>
      </c>
      <c r="N449" s="29"/>
      <c r="O449" s="29"/>
      <c r="P449" s="29"/>
      <c r="Q449" s="332">
        <f t="shared" si="82"/>
        <v>845</v>
      </c>
      <c r="R449" s="6"/>
      <c r="S449" s="7">
        <f>53329+26219+8244</f>
        <v>87792</v>
      </c>
      <c r="T449" s="6"/>
      <c r="U449" s="243">
        <f t="shared" si="83"/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si="80"/>
        <v>3467710</v>
      </c>
      <c r="L450" s="6"/>
      <c r="M450" s="438">
        <f t="shared" si="81"/>
        <v>2.2729095145492169E-4</v>
      </c>
      <c r="N450" s="29"/>
      <c r="O450" s="29"/>
      <c r="P450" s="29"/>
      <c r="Q450" s="332">
        <f t="shared" si="82"/>
        <v>788</v>
      </c>
      <c r="R450" s="6"/>
      <c r="S450" s="7">
        <f>53338+26247+8247</f>
        <v>87832</v>
      </c>
      <c r="T450" s="6"/>
      <c r="U450" s="243">
        <f t="shared" si="83"/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si="80"/>
        <v>3468560</v>
      </c>
      <c r="L451" s="6"/>
      <c r="M451" s="438">
        <f t="shared" si="81"/>
        <v>2.4511853644047511E-4</v>
      </c>
      <c r="N451" s="29"/>
      <c r="O451" s="29"/>
      <c r="P451" s="29"/>
      <c r="Q451" s="332">
        <f t="shared" si="82"/>
        <v>850</v>
      </c>
      <c r="R451" s="6"/>
      <c r="S451" s="7">
        <f>53357+26253+8245</f>
        <v>87855</v>
      </c>
      <c r="T451" s="6"/>
      <c r="U451" s="243">
        <f t="shared" si="83"/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si="80"/>
        <v>3469548</v>
      </c>
      <c r="L452" s="6"/>
      <c r="M452" s="438">
        <f t="shared" si="81"/>
        <v>2.8484443111838917E-4</v>
      </c>
      <c r="N452" s="29"/>
      <c r="O452" s="29"/>
      <c r="P452" s="29"/>
      <c r="Q452" s="332">
        <f t="shared" si="82"/>
        <v>988</v>
      </c>
      <c r="R452" s="6"/>
      <c r="S452" s="7">
        <f>53416+26265+8246</f>
        <v>87927</v>
      </c>
      <c r="T452" s="6"/>
      <c r="U452" s="243">
        <f t="shared" si="83"/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si="80"/>
        <v>3470961</v>
      </c>
      <c r="L453" s="6"/>
      <c r="M453" s="438">
        <f t="shared" si="81"/>
        <v>4.0725766007560638E-4</v>
      </c>
      <c r="N453" s="29"/>
      <c r="O453" s="29"/>
      <c r="P453" s="29"/>
      <c r="Q453" s="332">
        <f t="shared" si="82"/>
        <v>1413</v>
      </c>
      <c r="R453" s="6"/>
      <c r="S453" s="7">
        <f>53429+26273+8246</f>
        <v>87948</v>
      </c>
      <c r="T453" s="6"/>
      <c r="U453" s="243">
        <f t="shared" si="83"/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si="80"/>
        <v>3471677</v>
      </c>
      <c r="L454" s="6"/>
      <c r="M454" s="438">
        <f t="shared" si="81"/>
        <v>2.0628292856070696E-4</v>
      </c>
      <c r="N454" s="29"/>
      <c r="O454" s="29"/>
      <c r="P454" s="29"/>
      <c r="Q454" s="332">
        <f t="shared" si="82"/>
        <v>716</v>
      </c>
      <c r="R454" s="6"/>
      <c r="S454" s="7">
        <f>53462+26279+8246</f>
        <v>87987</v>
      </c>
      <c r="T454" s="6"/>
      <c r="U454" s="243">
        <f t="shared" si="83"/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si="80"/>
        <v>3472461</v>
      </c>
      <c r="L455" s="6"/>
      <c r="M455" s="438">
        <f t="shared" si="81"/>
        <v>2.2582746033113105E-4</v>
      </c>
      <c r="N455" s="29"/>
      <c r="O455" s="29"/>
      <c r="P455" s="29"/>
      <c r="Q455" s="332">
        <f t="shared" si="82"/>
        <v>784</v>
      </c>
      <c r="R455" s="6"/>
      <c r="S455" s="7">
        <f>53462+26279+8246</f>
        <v>87987</v>
      </c>
      <c r="T455" s="6"/>
      <c r="U455" s="243">
        <f t="shared" si="83"/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si="80"/>
        <v>3473313</v>
      </c>
      <c r="L456" s="6"/>
      <c r="M456" s="438">
        <f t="shared" si="81"/>
        <v>2.4535912714354461E-4</v>
      </c>
      <c r="N456" s="29"/>
      <c r="O456" s="29"/>
      <c r="P456" s="29"/>
      <c r="Q456" s="332">
        <f t="shared" si="82"/>
        <v>852</v>
      </c>
      <c r="R456" s="6"/>
      <c r="S456" s="7">
        <f>53483+26285+8255</f>
        <v>88023</v>
      </c>
      <c r="T456" s="6"/>
      <c r="U456" s="243">
        <f t="shared" si="83"/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si="80"/>
        <v>3474042</v>
      </c>
      <c r="L457" s="6"/>
      <c r="M457" s="438">
        <f t="shared" si="81"/>
        <v>2.0988606555182328E-4</v>
      </c>
      <c r="N457" s="29"/>
      <c r="O457" s="29"/>
      <c r="P457" s="29"/>
      <c r="Q457" s="332">
        <f t="shared" si="82"/>
        <v>729</v>
      </c>
      <c r="R457" s="6"/>
      <c r="S457" s="7">
        <f>53492+26316+8257</f>
        <v>88065</v>
      </c>
      <c r="T457" s="6"/>
      <c r="U457" s="243">
        <f t="shared" si="83"/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si="80"/>
        <v>3475000</v>
      </c>
      <c r="L458" s="6"/>
      <c r="M458" s="438">
        <f t="shared" si="81"/>
        <v>2.7575947556189589E-4</v>
      </c>
      <c r="N458" s="29"/>
      <c r="O458" s="29"/>
      <c r="P458" s="29"/>
      <c r="Q458" s="332">
        <f t="shared" si="82"/>
        <v>958</v>
      </c>
      <c r="R458" s="6"/>
      <c r="S458" s="7">
        <f>53492+26316+8257</f>
        <v>88065</v>
      </c>
      <c r="T458" s="6"/>
      <c r="U458" s="243">
        <f t="shared" si="83"/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si="80"/>
        <v>3475967</v>
      </c>
      <c r="L459" s="6"/>
      <c r="M459" s="438">
        <f t="shared" si="81"/>
        <v>2.7827338129496402E-4</v>
      </c>
      <c r="N459" s="29"/>
      <c r="O459" s="29"/>
      <c r="P459" s="29"/>
      <c r="Q459" s="332">
        <f t="shared" si="82"/>
        <v>967</v>
      </c>
      <c r="R459" s="6"/>
      <c r="S459" s="7">
        <f>53522+26324+8261</f>
        <v>88107</v>
      </c>
      <c r="T459" s="6"/>
      <c r="U459" s="243">
        <f t="shared" si="83"/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si="80"/>
        <v>3476407</v>
      </c>
      <c r="L460" s="6"/>
      <c r="M460" s="438">
        <f t="shared" si="81"/>
        <v>1.2658348022291351E-4</v>
      </c>
      <c r="N460" s="29"/>
      <c r="O460" s="29"/>
      <c r="P460" s="29"/>
      <c r="Q460" s="332">
        <f t="shared" si="82"/>
        <v>440</v>
      </c>
      <c r="R460" s="6"/>
      <c r="S460" s="7">
        <f>53539+26324+8261</f>
        <v>88124</v>
      </c>
      <c r="T460" s="6"/>
      <c r="U460" s="243">
        <f t="shared" si="83"/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si="80"/>
        <v>3477226</v>
      </c>
      <c r="L461" s="6"/>
      <c r="M461" s="438">
        <f t="shared" si="81"/>
        <v>2.3558806549405751E-4</v>
      </c>
      <c r="N461" s="29"/>
      <c r="O461" s="29"/>
      <c r="P461" s="29"/>
      <c r="Q461" s="332">
        <f t="shared" si="82"/>
        <v>819</v>
      </c>
      <c r="R461" s="6"/>
      <c r="S461" s="7">
        <f>53549+26330+8261</f>
        <v>88140</v>
      </c>
      <c r="T461" s="6"/>
      <c r="U461" s="243">
        <f t="shared" si="83"/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si="80"/>
        <v>3477900</v>
      </c>
      <c r="L462" s="6"/>
      <c r="M462" s="438">
        <f t="shared" si="81"/>
        <v>1.9383267006516114E-4</v>
      </c>
      <c r="N462" s="29"/>
      <c r="O462" s="29"/>
      <c r="P462" s="29"/>
      <c r="Q462" s="332">
        <f t="shared" si="82"/>
        <v>674</v>
      </c>
      <c r="R462" s="6"/>
      <c r="S462" s="7">
        <f>53549+26330+8261</f>
        <v>88140</v>
      </c>
      <c r="T462" s="6"/>
      <c r="U462" s="243">
        <f t="shared" si="83"/>
        <v>2.5342879323729837E-2</v>
      </c>
      <c r="W462">
        <f t="shared" si="65"/>
        <v>452</v>
      </c>
      <c r="Y462" s="56"/>
    </row>
    <row r="463" spans="3:25" x14ac:dyDescent="0.3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si="80"/>
        <v>3478645</v>
      </c>
      <c r="L463" s="6"/>
      <c r="M463" s="438">
        <f t="shared" si="81"/>
        <v>2.1420972425889186E-4</v>
      </c>
      <c r="N463" s="29"/>
      <c r="O463" s="29"/>
      <c r="P463" s="29"/>
      <c r="Q463" s="332">
        <f t="shared" si="82"/>
        <v>745</v>
      </c>
      <c r="R463" s="6"/>
      <c r="S463" s="7">
        <f>53574+26344+8263</f>
        <v>88181</v>
      </c>
      <c r="T463" s="6"/>
      <c r="U463" s="243">
        <f t="shared" si="83"/>
        <v>2.5349237993529089E-2</v>
      </c>
      <c r="W463">
        <f t="shared" si="65"/>
        <v>453</v>
      </c>
      <c r="Y463" s="56"/>
    </row>
    <row r="464" spans="3:25" x14ac:dyDescent="0.3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si="80"/>
        <v>3479196</v>
      </c>
      <c r="L464" s="6"/>
      <c r="M464" s="438">
        <f t="shared" si="81"/>
        <v>1.5839500725138667E-4</v>
      </c>
      <c r="N464" s="29"/>
      <c r="O464" s="29"/>
      <c r="P464" s="29"/>
      <c r="Q464" s="332">
        <f t="shared" si="82"/>
        <v>551</v>
      </c>
      <c r="R464" s="6"/>
      <c r="S464" s="7">
        <f>53576+26357+8265</f>
        <v>88198</v>
      </c>
      <c r="T464" s="6"/>
      <c r="U464" s="243">
        <f t="shared" si="83"/>
        <v>2.5350109623027851E-2</v>
      </c>
      <c r="W464">
        <f t="shared" si="65"/>
        <v>454</v>
      </c>
      <c r="Y464" s="56"/>
    </row>
    <row r="465" spans="3:25" x14ac:dyDescent="0.3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si="80"/>
        <v>3479800</v>
      </c>
      <c r="L465" s="6"/>
      <c r="M465" s="438">
        <f t="shared" si="81"/>
        <v>1.7360332674560443E-4</v>
      </c>
      <c r="N465" s="29"/>
      <c r="O465" s="29"/>
      <c r="P465" s="29"/>
      <c r="Q465" s="332">
        <f t="shared" si="82"/>
        <v>604</v>
      </c>
      <c r="R465" s="6"/>
      <c r="S465" s="7">
        <f>53576+26357+8265</f>
        <v>88198</v>
      </c>
      <c r="T465" s="6"/>
      <c r="U465" s="243">
        <f t="shared" si="83"/>
        <v>2.5345709523535834E-2</v>
      </c>
      <c r="W465">
        <f t="shared" si="65"/>
        <v>455</v>
      </c>
      <c r="Y465" s="56"/>
    </row>
    <row r="466" spans="3:25" x14ac:dyDescent="0.3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80"/>
        <v>3480657</v>
      </c>
      <c r="L466" s="6"/>
      <c r="M466" s="438">
        <f t="shared" si="81"/>
        <v>2.4627852175412379E-4</v>
      </c>
      <c r="N466" s="29"/>
      <c r="O466" s="29"/>
      <c r="P466" s="29"/>
      <c r="Q466" s="332">
        <f t="shared" si="82"/>
        <v>857</v>
      </c>
      <c r="R466" s="6"/>
      <c r="S466" s="7">
        <f>53597+26368+8270</f>
        <v>88235</v>
      </c>
      <c r="T466" s="6"/>
      <c r="U466" s="243">
        <f t="shared" si="83"/>
        <v>2.5350099133583114E-2</v>
      </c>
      <c r="W466">
        <f t="shared" si="65"/>
        <v>456</v>
      </c>
      <c r="Y466" s="56"/>
    </row>
    <row r="467" spans="3:25" x14ac:dyDescent="0.3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si="80"/>
        <v>3481265</v>
      </c>
      <c r="L467" s="6"/>
      <c r="M467" s="438">
        <f t="shared" si="81"/>
        <v>1.7467966536202791E-4</v>
      </c>
      <c r="N467" s="29"/>
      <c r="O467" s="29"/>
      <c r="P467" s="29"/>
      <c r="Q467" s="332">
        <f t="shared" si="82"/>
        <v>608</v>
      </c>
      <c r="R467" s="6"/>
      <c r="S467" s="7">
        <f>53606+26374+8270</f>
        <v>88250</v>
      </c>
      <c r="T467" s="6"/>
      <c r="U467" s="243">
        <f t="shared" si="83"/>
        <v>2.5349980538683495E-2</v>
      </c>
      <c r="W467">
        <f t="shared" si="65"/>
        <v>457</v>
      </c>
      <c r="Y467" s="56"/>
    </row>
    <row r="468" spans="3:25" x14ac:dyDescent="0.3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si="80"/>
        <v>3481692</v>
      </c>
      <c r="L468" s="6"/>
      <c r="M468" s="438">
        <f t="shared" si="81"/>
        <v>1.2265656305969239E-4</v>
      </c>
      <c r="N468" s="29"/>
      <c r="O468" s="29"/>
      <c r="P468" s="29"/>
      <c r="Q468" s="332">
        <f t="shared" si="82"/>
        <v>427</v>
      </c>
      <c r="R468" s="6"/>
      <c r="S468" s="7">
        <f>53606+26374+8270</f>
        <v>88250</v>
      </c>
      <c r="T468" s="6"/>
      <c r="U468" s="243">
        <f t="shared" si="83"/>
        <v>2.5346871578531358E-2</v>
      </c>
      <c r="W468">
        <f t="shared" si="65"/>
        <v>458</v>
      </c>
      <c r="Y468" s="56"/>
    </row>
    <row r="469" spans="3:25" x14ac:dyDescent="0.3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si="80"/>
        <v>3482000</v>
      </c>
      <c r="L469" s="6"/>
      <c r="M469" s="438">
        <f t="shared" si="81"/>
        <v>8.8462735934137775E-5</v>
      </c>
      <c r="N469" s="29"/>
      <c r="O469" s="29"/>
      <c r="P469" s="29"/>
      <c r="Q469" s="332">
        <f t="shared" si="82"/>
        <v>308</v>
      </c>
      <c r="R469" s="6"/>
      <c r="S469" s="7">
        <f>53632+26392+8271</f>
        <v>88295</v>
      </c>
      <c r="T469" s="6"/>
      <c r="U469" s="243">
        <f t="shared" si="83"/>
        <v>2.5357553130384836E-2</v>
      </c>
      <c r="W469">
        <f t="shared" si="65"/>
        <v>459</v>
      </c>
      <c r="Y469" s="56"/>
    </row>
    <row r="470" spans="3:25" x14ac:dyDescent="0.3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si="80"/>
        <v>3482350</v>
      </c>
      <c r="L470" s="6"/>
      <c r="M470" s="438">
        <f t="shared" si="81"/>
        <v>1.0051694428489374E-4</v>
      </c>
      <c r="N470" s="29"/>
      <c r="O470" s="29"/>
      <c r="P470" s="29"/>
      <c r="Q470" s="332">
        <f t="shared" si="82"/>
        <v>350</v>
      </c>
      <c r="R470" s="6"/>
      <c r="S470" s="7">
        <f>53632+26392+8271</f>
        <v>88295</v>
      </c>
      <c r="T470" s="6"/>
      <c r="U470" s="243">
        <f t="shared" si="83"/>
        <v>2.5355004522807874E-2</v>
      </c>
      <c r="W470">
        <f t="shared" si="65"/>
        <v>460</v>
      </c>
      <c r="Y470" s="56"/>
    </row>
    <row r="471" spans="3:25" x14ac:dyDescent="0.3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80"/>
        <v>3482744</v>
      </c>
      <c r="L471" s="6"/>
      <c r="M471" s="438">
        <f t="shared" si="81"/>
        <v>1.1314198745100292E-4</v>
      </c>
      <c r="N471" s="29"/>
      <c r="O471" s="29"/>
      <c r="P471" s="29"/>
      <c r="Q471" s="332">
        <f t="shared" si="82"/>
        <v>394</v>
      </c>
      <c r="R471" s="6"/>
      <c r="S471" s="7">
        <f>53632+26392+8271</f>
        <v>88295</v>
      </c>
      <c r="T471" s="6"/>
      <c r="U471" s="243">
        <f t="shared" si="83"/>
        <v>2.53521361317398E-2</v>
      </c>
      <c r="W471">
        <f>+W470+1</f>
        <v>461</v>
      </c>
      <c r="Y471" s="56"/>
    </row>
    <row r="472" spans="3:25" x14ac:dyDescent="0.3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80"/>
        <v>3484133</v>
      </c>
      <c r="L472" s="6"/>
      <c r="M472" s="438">
        <f t="shared" si="81"/>
        <v>3.9882345644698549E-4</v>
      </c>
      <c r="N472" s="29"/>
      <c r="O472" s="29"/>
      <c r="P472" s="29"/>
      <c r="Q472" s="332">
        <f t="shared" si="82"/>
        <v>1389</v>
      </c>
      <c r="R472" s="6"/>
      <c r="S472" s="7">
        <f>53635+26416+8274</f>
        <v>88325</v>
      </c>
      <c r="T472" s="6"/>
      <c r="U472" s="243">
        <f t="shared" si="83"/>
        <v>2.5350639599579006E-2</v>
      </c>
      <c r="W472">
        <f t="shared" si="65"/>
        <v>462</v>
      </c>
      <c r="Y472" s="56"/>
    </row>
    <row r="473" spans="3:25" x14ac:dyDescent="0.3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:K504" si="84">SUM(E473:I473)</f>
        <v>3485198</v>
      </c>
      <c r="L473" s="6"/>
      <c r="M473" s="438">
        <f t="shared" ref="M473:M504" si="85">+(K473-K472)/K472</f>
        <v>3.0567145398869677E-4</v>
      </c>
      <c r="N473" s="29"/>
      <c r="O473" s="29"/>
      <c r="P473" s="29"/>
      <c r="Q473" s="332">
        <f t="shared" ref="Q473:Q504" si="86">+K473-K472</f>
        <v>1065</v>
      </c>
      <c r="R473" s="6"/>
      <c r="S473" s="7">
        <f>53646+26434+8275</f>
        <v>88355</v>
      </c>
      <c r="T473" s="6"/>
      <c r="U473" s="243">
        <f t="shared" ref="U473:U504" si="87">+S473/K473</f>
        <v>2.5351500832951242E-2</v>
      </c>
      <c r="W473">
        <f t="shared" si="65"/>
        <v>463</v>
      </c>
      <c r="Y473" s="56"/>
    </row>
    <row r="474" spans="3:25" x14ac:dyDescent="0.3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si="84"/>
        <v>3485670</v>
      </c>
      <c r="L474" s="6"/>
      <c r="M474" s="438">
        <f t="shared" si="85"/>
        <v>1.3542989523120352E-4</v>
      </c>
      <c r="N474" s="29"/>
      <c r="O474" s="29"/>
      <c r="P474" s="29"/>
      <c r="Q474" s="332">
        <f t="shared" si="86"/>
        <v>472</v>
      </c>
      <c r="R474" s="6"/>
      <c r="S474" s="7">
        <f>53664+26437+8275</f>
        <v>88376</v>
      </c>
      <c r="T474" s="6"/>
      <c r="U474" s="243">
        <f t="shared" si="87"/>
        <v>2.535409261347173E-2</v>
      </c>
      <c r="W474">
        <f t="shared" si="65"/>
        <v>464</v>
      </c>
      <c r="Y474" s="56"/>
    </row>
    <row r="475" spans="3:25" x14ac:dyDescent="0.3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si="84"/>
        <v>3486073</v>
      </c>
      <c r="L475" s="6"/>
      <c r="M475" s="438">
        <f t="shared" si="85"/>
        <v>1.1561622299299705E-4</v>
      </c>
      <c r="N475" s="29"/>
      <c r="O475" s="29"/>
      <c r="P475" s="29"/>
      <c r="Q475" s="332">
        <f t="shared" si="86"/>
        <v>403</v>
      </c>
      <c r="R475" s="6"/>
      <c r="S475" s="7">
        <f>53664+26437+8275</f>
        <v>88376</v>
      </c>
      <c r="T475" s="6"/>
      <c r="U475" s="243">
        <f t="shared" si="87"/>
        <v>2.5351161607918136E-2</v>
      </c>
      <c r="W475">
        <f t="shared" si="65"/>
        <v>465</v>
      </c>
      <c r="Y475" s="56"/>
    </row>
    <row r="476" spans="3:25" x14ac:dyDescent="0.3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si="84"/>
        <v>3486523</v>
      </c>
      <c r="L476" s="6"/>
      <c r="M476" s="438">
        <f t="shared" si="85"/>
        <v>1.2908507653167331E-4</v>
      </c>
      <c r="N476" s="29"/>
      <c r="O476" s="29"/>
      <c r="P476" s="29"/>
      <c r="Q476" s="332">
        <f t="shared" si="86"/>
        <v>450</v>
      </c>
      <c r="R476" s="6"/>
      <c r="S476" s="7">
        <f>53664+26437+8275</f>
        <v>88376</v>
      </c>
      <c r="T476" s="6"/>
      <c r="U476" s="243">
        <f t="shared" si="87"/>
        <v>2.5347889573652603E-2</v>
      </c>
      <c r="W476">
        <f t="shared" si="65"/>
        <v>466</v>
      </c>
      <c r="Y476" s="56"/>
    </row>
    <row r="477" spans="3:25" x14ac:dyDescent="0.3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84"/>
        <v>3487187</v>
      </c>
      <c r="L477" s="6"/>
      <c r="M477" s="438">
        <f t="shared" si="85"/>
        <v>1.9044761787029657E-4</v>
      </c>
      <c r="N477" s="29"/>
      <c r="O477" s="29"/>
      <c r="P477" s="29"/>
      <c r="Q477" s="332">
        <f t="shared" si="86"/>
        <v>664</v>
      </c>
      <c r="R477" s="6"/>
      <c r="S477" s="7">
        <f>53676+26444+8276</f>
        <v>88396</v>
      </c>
      <c r="T477" s="6"/>
      <c r="U477" s="243">
        <f t="shared" si="87"/>
        <v>2.534879832942713E-2</v>
      </c>
      <c r="W477">
        <f t="shared" ref="W477:W540" si="88">+W476+1</f>
        <v>467</v>
      </c>
      <c r="Y477" s="56"/>
    </row>
    <row r="478" spans="3:25" x14ac:dyDescent="0.3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si="84"/>
        <v>3487733</v>
      </c>
      <c r="L478" s="6"/>
      <c r="M478" s="438">
        <f t="shared" si="85"/>
        <v>1.5657319208863763E-4</v>
      </c>
      <c r="N478" s="29"/>
      <c r="O478" s="29"/>
      <c r="P478" s="29"/>
      <c r="Q478" s="332">
        <f t="shared" si="86"/>
        <v>546</v>
      </c>
      <c r="R478" s="6"/>
      <c r="S478" s="7">
        <f>53679+26457+8278</f>
        <v>88414</v>
      </c>
      <c r="T478" s="6"/>
      <c r="U478" s="243">
        <f t="shared" si="87"/>
        <v>2.5349990954009381E-2</v>
      </c>
      <c r="W478">
        <f t="shared" si="88"/>
        <v>468</v>
      </c>
      <c r="Y478" s="56"/>
    </row>
    <row r="479" spans="3:25" x14ac:dyDescent="0.3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si="84"/>
        <v>3488377</v>
      </c>
      <c r="L479" s="6"/>
      <c r="M479" s="438">
        <f t="shared" si="85"/>
        <v>1.8464716192437896E-4</v>
      </c>
      <c r="N479" s="29"/>
      <c r="O479" s="29"/>
      <c r="P479" s="29"/>
      <c r="Q479" s="332">
        <f t="shared" si="86"/>
        <v>644</v>
      </c>
      <c r="R479" s="6"/>
      <c r="S479" s="7">
        <f>53690+26462+8279</f>
        <v>88431</v>
      </c>
      <c r="T479" s="6"/>
      <c r="U479" s="243">
        <f t="shared" si="87"/>
        <v>2.5350184340740694E-2</v>
      </c>
      <c r="W479">
        <f t="shared" si="88"/>
        <v>469</v>
      </c>
      <c r="Y479" s="56"/>
    </row>
    <row r="480" spans="3:25" x14ac:dyDescent="0.3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si="84"/>
        <v>3489279</v>
      </c>
      <c r="L480" s="6"/>
      <c r="M480" s="438">
        <f t="shared" si="85"/>
        <v>2.5857296960735609E-4</v>
      </c>
      <c r="N480" s="29"/>
      <c r="O480" s="29"/>
      <c r="P480" s="29"/>
      <c r="Q480" s="332">
        <f t="shared" si="86"/>
        <v>902</v>
      </c>
      <c r="R480" s="6"/>
      <c r="S480" s="7">
        <f>53692+26467+8279</f>
        <v>88438</v>
      </c>
      <c r="T480" s="6"/>
      <c r="U480" s="243">
        <f t="shared" si="87"/>
        <v>2.5345637307879365E-2</v>
      </c>
      <c r="W480">
        <f t="shared" si="88"/>
        <v>470</v>
      </c>
      <c r="Y480" s="56"/>
    </row>
    <row r="481" spans="3:25" x14ac:dyDescent="0.3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si="84"/>
        <v>3489755</v>
      </c>
      <c r="L481" s="6"/>
      <c r="M481" s="438">
        <f t="shared" si="85"/>
        <v>1.3641786741616248E-4</v>
      </c>
      <c r="N481" s="29"/>
      <c r="O481" s="29"/>
      <c r="P481" s="29"/>
      <c r="Q481" s="332">
        <f t="shared" si="86"/>
        <v>476</v>
      </c>
      <c r="R481" s="6"/>
      <c r="S481" s="7">
        <f>53692+26472+8279</f>
        <v>88443</v>
      </c>
      <c r="T481" s="6"/>
      <c r="U481" s="243">
        <f t="shared" si="87"/>
        <v>2.5343612947040694E-2</v>
      </c>
      <c r="W481">
        <f t="shared" si="88"/>
        <v>471</v>
      </c>
      <c r="Y481" s="56"/>
    </row>
    <row r="482" spans="3:25" x14ac:dyDescent="0.3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si="84"/>
        <v>3490217</v>
      </c>
      <c r="L482" s="6"/>
      <c r="M482" s="438">
        <f t="shared" si="85"/>
        <v>1.3238751717527448E-4</v>
      </c>
      <c r="N482" s="29"/>
      <c r="O482" s="29"/>
      <c r="P482" s="29"/>
      <c r="Q482" s="332">
        <f t="shared" si="86"/>
        <v>462</v>
      </c>
      <c r="R482" s="6"/>
      <c r="S482" s="7">
        <f>53701+26473+8279</f>
        <v>88453</v>
      </c>
      <c r="T482" s="6"/>
      <c r="U482" s="243">
        <f t="shared" si="87"/>
        <v>2.5343123364535786E-2</v>
      </c>
      <c r="W482">
        <f t="shared" si="88"/>
        <v>472</v>
      </c>
      <c r="Y482" s="56"/>
    </row>
    <row r="483" spans="3:25" x14ac:dyDescent="0.3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si="84"/>
        <v>3490675</v>
      </c>
      <c r="L483" s="6"/>
      <c r="M483" s="438">
        <f t="shared" si="85"/>
        <v>1.3122393249474174E-4</v>
      </c>
      <c r="N483" s="29"/>
      <c r="O483" s="29"/>
      <c r="P483" s="29"/>
      <c r="Q483" s="332">
        <f t="shared" si="86"/>
        <v>458</v>
      </c>
      <c r="R483" s="6"/>
      <c r="S483" s="7">
        <f>53705+26477+8279</f>
        <v>88461</v>
      </c>
      <c r="T483" s="6"/>
      <c r="U483" s="243">
        <f t="shared" si="87"/>
        <v>2.5342089996920367E-2</v>
      </c>
      <c r="W483">
        <f t="shared" si="88"/>
        <v>473</v>
      </c>
      <c r="Y483" s="56"/>
    </row>
    <row r="484" spans="3:25" x14ac:dyDescent="0.3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si="84"/>
        <v>3491302</v>
      </c>
      <c r="L484" s="6"/>
      <c r="M484" s="438">
        <f t="shared" si="85"/>
        <v>1.7962141992594556E-4</v>
      </c>
      <c r="N484" s="29"/>
      <c r="O484" s="29"/>
      <c r="P484" s="29"/>
      <c r="Q484" s="332">
        <f t="shared" si="86"/>
        <v>627</v>
      </c>
      <c r="R484" s="6"/>
      <c r="S484" s="7">
        <f>53711+26477+8279</f>
        <v>88467</v>
      </c>
      <c r="T484" s="6"/>
      <c r="U484" s="243">
        <f t="shared" si="87"/>
        <v>2.5339257388790771E-2</v>
      </c>
      <c r="W484">
        <f t="shared" si="88"/>
        <v>474</v>
      </c>
      <c r="Y484" s="56"/>
    </row>
    <row r="485" spans="3:25" x14ac:dyDescent="0.3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si="84"/>
        <v>3492040</v>
      </c>
      <c r="L485" s="6"/>
      <c r="M485" s="438">
        <f t="shared" si="85"/>
        <v>2.1138245846391977E-4</v>
      </c>
      <c r="N485" s="29"/>
      <c r="O485" s="29"/>
      <c r="P485" s="29"/>
      <c r="Q485" s="332">
        <f t="shared" si="86"/>
        <v>738</v>
      </c>
      <c r="R485" s="6"/>
      <c r="S485" s="7">
        <f>53717+26490+8278</f>
        <v>88485</v>
      </c>
      <c r="T485" s="6"/>
      <c r="U485" s="243">
        <f t="shared" si="87"/>
        <v>2.5339056826382288E-2</v>
      </c>
      <c r="W485">
        <f t="shared" si="88"/>
        <v>475</v>
      </c>
      <c r="Y485" s="56"/>
    </row>
    <row r="486" spans="3:25" x14ac:dyDescent="0.3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si="84"/>
        <v>3493093</v>
      </c>
      <c r="L486" s="6"/>
      <c r="M486" s="438">
        <f t="shared" si="85"/>
        <v>3.0154293765248964E-4</v>
      </c>
      <c r="N486" s="29"/>
      <c r="O486" s="29"/>
      <c r="P486" s="29"/>
      <c r="Q486" s="332">
        <f t="shared" si="86"/>
        <v>1053</v>
      </c>
      <c r="R486" s="6"/>
      <c r="S486" s="7">
        <f>53721+26493+8279</f>
        <v>88493</v>
      </c>
      <c r="T486" s="6"/>
      <c r="U486" s="243">
        <f t="shared" si="87"/>
        <v>2.5333708549987073E-2</v>
      </c>
      <c r="W486">
        <f t="shared" si="88"/>
        <v>476</v>
      </c>
      <c r="Y486" s="56"/>
    </row>
    <row r="487" spans="3:25" x14ac:dyDescent="0.3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si="84"/>
        <v>3494406</v>
      </c>
      <c r="L487" s="6"/>
      <c r="M487" s="438">
        <f t="shared" si="85"/>
        <v>3.7588463862828729E-4</v>
      </c>
      <c r="N487" s="29"/>
      <c r="O487" s="29"/>
      <c r="P487" s="29"/>
      <c r="Q487" s="332">
        <f t="shared" si="86"/>
        <v>1313</v>
      </c>
      <c r="R487" s="6"/>
      <c r="S487" s="7">
        <f>53726+26496+8279</f>
        <v>88501</v>
      </c>
      <c r="T487" s="6"/>
      <c r="U487" s="243">
        <f t="shared" si="87"/>
        <v>2.5326478949498139E-2</v>
      </c>
      <c r="W487">
        <f t="shared" si="88"/>
        <v>477</v>
      </c>
      <c r="Y487" s="56"/>
    </row>
    <row r="488" spans="3:25" x14ac:dyDescent="0.3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si="84"/>
        <v>3495549</v>
      </c>
      <c r="L488" s="6"/>
      <c r="M488" s="438">
        <f t="shared" si="85"/>
        <v>3.2709421858822358E-4</v>
      </c>
      <c r="N488" s="29"/>
      <c r="O488" s="29"/>
      <c r="P488" s="29"/>
      <c r="Q488" s="332">
        <f t="shared" si="86"/>
        <v>1143</v>
      </c>
      <c r="R488" s="6"/>
      <c r="S488" s="7">
        <f>53733+26501+8279</f>
        <v>88513</v>
      </c>
      <c r="T488" s="6"/>
      <c r="U488" s="243">
        <f t="shared" si="87"/>
        <v>2.5321630450610189E-2</v>
      </c>
      <c r="W488">
        <f t="shared" si="88"/>
        <v>478</v>
      </c>
      <c r="Y488" s="56"/>
    </row>
    <row r="489" spans="3:25" x14ac:dyDescent="0.3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si="84"/>
        <v>3496526</v>
      </c>
      <c r="L489" s="6"/>
      <c r="M489" s="438">
        <f t="shared" si="85"/>
        <v>2.7949829912268429E-4</v>
      </c>
      <c r="N489" s="29"/>
      <c r="O489" s="29"/>
      <c r="P489" s="29"/>
      <c r="Q489" s="332">
        <f t="shared" si="86"/>
        <v>977</v>
      </c>
      <c r="R489" s="6"/>
      <c r="S489" s="7">
        <f>53735+26505+8279</f>
        <v>88519</v>
      </c>
      <c r="T489" s="6"/>
      <c r="U489" s="243">
        <f t="shared" si="87"/>
        <v>2.531627106447943E-2</v>
      </c>
      <c r="W489">
        <f t="shared" si="88"/>
        <v>479</v>
      </c>
      <c r="Y489" s="56"/>
    </row>
    <row r="490" spans="3:25" x14ac:dyDescent="0.3">
      <c r="C490" s="157">
        <f t="shared" si="75"/>
        <v>44389</v>
      </c>
      <c r="E490" s="241">
        <v>2121119</v>
      </c>
      <c r="F490" s="7"/>
      <c r="G490" s="7">
        <v>1026286</v>
      </c>
      <c r="H490" s="7"/>
      <c r="I490" s="7">
        <v>350039</v>
      </c>
      <c r="J490" s="244"/>
      <c r="K490" s="7">
        <f t="shared" si="84"/>
        <v>3497444</v>
      </c>
      <c r="L490" s="6"/>
      <c r="M490" s="438">
        <f t="shared" si="85"/>
        <v>2.6254631025194724E-4</v>
      </c>
      <c r="N490" s="29"/>
      <c r="O490" s="29"/>
      <c r="P490" s="29"/>
      <c r="Q490" s="332">
        <f t="shared" si="86"/>
        <v>918</v>
      </c>
      <c r="R490" s="6"/>
      <c r="S490" s="7">
        <f>53737+26509+8279</f>
        <v>88525</v>
      </c>
      <c r="T490" s="6"/>
      <c r="U490" s="243">
        <f t="shared" si="87"/>
        <v>2.531134165407652E-2</v>
      </c>
      <c r="W490">
        <f t="shared" si="88"/>
        <v>480</v>
      </c>
      <c r="Y490" s="56"/>
    </row>
    <row r="491" spans="3:25" x14ac:dyDescent="0.3">
      <c r="C491" s="157">
        <f t="shared" si="75"/>
        <v>44390</v>
      </c>
      <c r="E491" s="241">
        <v>2121761</v>
      </c>
      <c r="F491" s="7"/>
      <c r="G491" s="7">
        <v>1026649</v>
      </c>
      <c r="H491" s="7"/>
      <c r="I491" s="7">
        <v>350245</v>
      </c>
      <c r="J491" s="244"/>
      <c r="K491" s="7">
        <f t="shared" si="84"/>
        <v>3498655</v>
      </c>
      <c r="L491" s="6"/>
      <c r="M491" s="438">
        <f t="shared" si="85"/>
        <v>3.4625286351975903E-4</v>
      </c>
      <c r="N491" s="29"/>
      <c r="O491" s="29"/>
      <c r="P491" s="29"/>
      <c r="Q491" s="332">
        <f t="shared" si="86"/>
        <v>1211</v>
      </c>
      <c r="R491" s="6"/>
      <c r="S491" s="7">
        <f>53743+26516+8279</f>
        <v>88538</v>
      </c>
      <c r="T491" s="6"/>
      <c r="U491" s="243">
        <f t="shared" si="87"/>
        <v>2.5306296276712052E-2</v>
      </c>
      <c r="W491">
        <f t="shared" si="88"/>
        <v>481</v>
      </c>
      <c r="Y491" s="56"/>
    </row>
    <row r="492" spans="3:25" x14ac:dyDescent="0.3">
      <c r="C492" s="157">
        <f t="shared" si="75"/>
        <v>44391</v>
      </c>
      <c r="E492" s="241">
        <v>2122502</v>
      </c>
      <c r="F492" s="7"/>
      <c r="G492" s="7">
        <v>1027014</v>
      </c>
      <c r="H492" s="7"/>
      <c r="I492" s="7">
        <v>350386</v>
      </c>
      <c r="J492" s="244"/>
      <c r="K492" s="7">
        <f t="shared" si="84"/>
        <v>3499902</v>
      </c>
      <c r="L492" s="6"/>
      <c r="M492" s="438">
        <f t="shared" si="85"/>
        <v>3.5642268243081982E-4</v>
      </c>
      <c r="N492" s="29"/>
      <c r="O492" s="29"/>
      <c r="P492" s="29"/>
      <c r="Q492" s="332">
        <f t="shared" si="86"/>
        <v>1247</v>
      </c>
      <c r="R492" s="6"/>
      <c r="S492" s="7">
        <f>53754+26527+8279</f>
        <v>88560</v>
      </c>
      <c r="T492" s="6"/>
      <c r="U492" s="243">
        <f t="shared" si="87"/>
        <v>2.5303565642695137E-2</v>
      </c>
      <c r="W492">
        <f t="shared" si="88"/>
        <v>482</v>
      </c>
      <c r="Y492" s="56"/>
    </row>
    <row r="493" spans="3:25" x14ac:dyDescent="0.3">
      <c r="C493" s="157">
        <f t="shared" si="75"/>
        <v>44392</v>
      </c>
      <c r="E493" s="241">
        <v>2123452</v>
      </c>
      <c r="F493" s="7"/>
      <c r="G493" s="7">
        <v>1027460</v>
      </c>
      <c r="H493" s="7"/>
      <c r="I493" s="7">
        <v>350536</v>
      </c>
      <c r="J493" s="244"/>
      <c r="K493" s="7">
        <f t="shared" si="84"/>
        <v>3501448</v>
      </c>
      <c r="L493" s="6"/>
      <c r="M493" s="438">
        <f t="shared" si="85"/>
        <v>4.4172665406059939E-4</v>
      </c>
      <c r="N493" s="29"/>
      <c r="O493" s="29"/>
      <c r="P493" s="29"/>
      <c r="Q493" s="332">
        <f t="shared" si="86"/>
        <v>1546</v>
      </c>
      <c r="R493" s="6"/>
      <c r="S493" s="7">
        <f>53759+26529+8282</f>
        <v>88570</v>
      </c>
      <c r="T493" s="6"/>
      <c r="U493" s="243">
        <f t="shared" si="87"/>
        <v>2.529524927972656E-2</v>
      </c>
      <c r="W493">
        <f t="shared" si="88"/>
        <v>483</v>
      </c>
      <c r="Y493" s="56"/>
    </row>
    <row r="494" spans="3:25" x14ac:dyDescent="0.3">
      <c r="C494" s="157">
        <f t="shared" si="75"/>
        <v>44393</v>
      </c>
      <c r="E494" s="241">
        <v>2124168</v>
      </c>
      <c r="F494" s="7"/>
      <c r="G494" s="7">
        <v>1027954</v>
      </c>
      <c r="H494" s="7"/>
      <c r="I494" s="7">
        <v>350675</v>
      </c>
      <c r="J494" s="244"/>
      <c r="K494" s="7">
        <f t="shared" si="84"/>
        <v>3502797</v>
      </c>
      <c r="L494" s="6"/>
      <c r="M494" s="438">
        <f t="shared" si="85"/>
        <v>3.8526918006493311E-4</v>
      </c>
      <c r="N494" s="29"/>
      <c r="O494" s="29"/>
      <c r="P494" s="29"/>
      <c r="Q494" s="332">
        <f t="shared" si="86"/>
        <v>1349</v>
      </c>
      <c r="R494" s="6"/>
      <c r="S494" s="7">
        <f>53760+26531+8282</f>
        <v>88573</v>
      </c>
      <c r="T494" s="6"/>
      <c r="U494" s="243">
        <f t="shared" si="87"/>
        <v>2.5286364011388614E-2</v>
      </c>
      <c r="W494">
        <f t="shared" si="88"/>
        <v>484</v>
      </c>
      <c r="Y494" s="56"/>
    </row>
    <row r="495" spans="3:25" x14ac:dyDescent="0.3">
      <c r="C495" s="157">
        <f t="shared" si="75"/>
        <v>44394</v>
      </c>
      <c r="E495" s="241">
        <v>2125535</v>
      </c>
      <c r="F495" s="7"/>
      <c r="G495" s="7">
        <v>1028503</v>
      </c>
      <c r="H495" s="7"/>
      <c r="I495" s="7">
        <v>350675</v>
      </c>
      <c r="J495" s="244"/>
      <c r="K495" s="7">
        <f t="shared" si="84"/>
        <v>3504713</v>
      </c>
      <c r="L495" s="6"/>
      <c r="M495" s="438">
        <f t="shared" si="85"/>
        <v>5.4699144712068665E-4</v>
      </c>
      <c r="N495" s="29"/>
      <c r="O495" s="29"/>
      <c r="P495" s="29"/>
      <c r="Q495" s="332">
        <f t="shared" si="86"/>
        <v>1916</v>
      </c>
      <c r="R495" s="6"/>
      <c r="S495" s="7">
        <f>53765+26536+8282</f>
        <v>88583</v>
      </c>
      <c r="T495" s="6"/>
      <c r="U495" s="243">
        <f t="shared" si="87"/>
        <v>2.5275393448764564E-2</v>
      </c>
      <c r="W495">
        <f t="shared" si="88"/>
        <v>485</v>
      </c>
      <c r="Y495" s="56"/>
    </row>
    <row r="496" spans="3:25" x14ac:dyDescent="0.3">
      <c r="C496" s="157">
        <f t="shared" si="75"/>
        <v>44395</v>
      </c>
      <c r="E496" s="241">
        <v>2126680</v>
      </c>
      <c r="F496" s="7"/>
      <c r="G496" s="7">
        <v>1028931</v>
      </c>
      <c r="H496" s="7"/>
      <c r="I496" s="7">
        <v>350675</v>
      </c>
      <c r="J496" s="244"/>
      <c r="K496" s="7">
        <f t="shared" si="84"/>
        <v>3506286</v>
      </c>
      <c r="L496" s="6"/>
      <c r="M496" s="438">
        <f t="shared" si="85"/>
        <v>4.488241975876484E-4</v>
      </c>
      <c r="N496" s="29"/>
      <c r="O496" s="29"/>
      <c r="P496" s="29"/>
      <c r="Q496" s="332">
        <f t="shared" si="86"/>
        <v>1573</v>
      </c>
      <c r="R496" s="6"/>
      <c r="S496" s="7">
        <f>53775+8282+26539</f>
        <v>88596</v>
      </c>
      <c r="T496" s="6"/>
      <c r="U496" s="243">
        <f t="shared" si="87"/>
        <v>2.5267761956668681E-2</v>
      </c>
      <c r="W496">
        <f t="shared" si="88"/>
        <v>486</v>
      </c>
      <c r="Y496" s="56"/>
    </row>
    <row r="497" spans="3:25" x14ac:dyDescent="0.3">
      <c r="C497" s="157">
        <f t="shared" si="75"/>
        <v>44396</v>
      </c>
      <c r="E497" s="241">
        <v>2127592</v>
      </c>
      <c r="F497" s="7"/>
      <c r="G497" s="7">
        <v>1029243</v>
      </c>
      <c r="H497" s="7"/>
      <c r="I497" s="7">
        <v>351084</v>
      </c>
      <c r="J497" s="244"/>
      <c r="K497" s="7">
        <f t="shared" si="84"/>
        <v>3507919</v>
      </c>
      <c r="L497" s="6"/>
      <c r="M497" s="438">
        <f t="shared" si="85"/>
        <v>4.6573496856788067E-4</v>
      </c>
      <c r="N497" s="29"/>
      <c r="O497" s="29"/>
      <c r="P497" s="29"/>
      <c r="Q497" s="332">
        <f t="shared" si="86"/>
        <v>1633</v>
      </c>
      <c r="R497" s="6"/>
      <c r="S497" s="7">
        <f>53780+26545+8282</f>
        <v>88607</v>
      </c>
      <c r="T497" s="6"/>
      <c r="U497" s="243">
        <f t="shared" si="87"/>
        <v>2.5259135116859881E-2</v>
      </c>
      <c r="W497">
        <f t="shared" si="88"/>
        <v>487</v>
      </c>
      <c r="Y497" s="56"/>
    </row>
    <row r="498" spans="3:25" x14ac:dyDescent="0.3">
      <c r="C498" s="157">
        <f t="shared" si="75"/>
        <v>44397</v>
      </c>
      <c r="E498" s="241">
        <v>2128710</v>
      </c>
      <c r="F498" s="7"/>
      <c r="G498" s="7">
        <v>1029901</v>
      </c>
      <c r="H498" s="7"/>
      <c r="I498" s="7">
        <v>351302</v>
      </c>
      <c r="J498" s="244"/>
      <c r="K498" s="7">
        <f t="shared" si="84"/>
        <v>3509913</v>
      </c>
      <c r="L498" s="6"/>
      <c r="M498" s="438">
        <f t="shared" si="85"/>
        <v>5.6842817636325131E-4</v>
      </c>
      <c r="N498" s="29"/>
      <c r="O498" s="29"/>
      <c r="P498" s="29"/>
      <c r="Q498" s="332">
        <f t="shared" si="86"/>
        <v>1994</v>
      </c>
      <c r="R498" s="6"/>
      <c r="S498" s="7">
        <f>53784+26557+8282</f>
        <v>88623</v>
      </c>
      <c r="T498" s="6"/>
      <c r="U498" s="243">
        <f t="shared" si="87"/>
        <v>2.52493437871537E-2</v>
      </c>
      <c r="W498">
        <f t="shared" si="88"/>
        <v>488</v>
      </c>
      <c r="Y498" s="56"/>
    </row>
    <row r="499" spans="3:25" x14ac:dyDescent="0.3">
      <c r="C499" s="157">
        <f t="shared" si="75"/>
        <v>44398</v>
      </c>
      <c r="E499" s="241">
        <v>2129897</v>
      </c>
      <c r="F499" s="7"/>
      <c r="G499" s="7">
        <v>1030600</v>
      </c>
      <c r="H499" s="7"/>
      <c r="I499" s="7">
        <v>351530</v>
      </c>
      <c r="J499" s="244"/>
      <c r="K499" s="7">
        <f t="shared" si="84"/>
        <v>3512027</v>
      </c>
      <c r="L499" s="6"/>
      <c r="M499" s="438">
        <f t="shared" si="85"/>
        <v>6.0229413093714856E-4</v>
      </c>
      <c r="N499" s="29"/>
      <c r="O499" s="29"/>
      <c r="P499" s="29"/>
      <c r="Q499" s="332">
        <f t="shared" si="86"/>
        <v>2114</v>
      </c>
      <c r="R499" s="6"/>
      <c r="S499" s="7">
        <f>53791+26562+8282</f>
        <v>88635</v>
      </c>
      <c r="T499" s="6"/>
      <c r="U499" s="243">
        <f t="shared" si="87"/>
        <v>2.5237562239698044E-2</v>
      </c>
      <c r="W499">
        <f t="shared" si="88"/>
        <v>489</v>
      </c>
      <c r="Y499" s="56"/>
    </row>
    <row r="500" spans="3:25" x14ac:dyDescent="0.3">
      <c r="C500" s="157">
        <f t="shared" si="75"/>
        <v>44399</v>
      </c>
      <c r="E500" s="241">
        <v>2131535</v>
      </c>
      <c r="F500" s="7"/>
      <c r="G500" s="7">
        <v>1031346</v>
      </c>
      <c r="H500" s="7"/>
      <c r="I500" s="7">
        <v>351825</v>
      </c>
      <c r="J500" s="244"/>
      <c r="K500" s="7">
        <f t="shared" si="84"/>
        <v>3514706</v>
      </c>
      <c r="L500" s="6"/>
      <c r="M500" s="438">
        <f t="shared" si="85"/>
        <v>7.6280734743781864E-4</v>
      </c>
      <c r="N500" s="29"/>
      <c r="O500" s="29"/>
      <c r="P500" s="29"/>
      <c r="Q500" s="332">
        <f t="shared" si="86"/>
        <v>2679</v>
      </c>
      <c r="R500" s="6"/>
      <c r="S500" s="7">
        <f>53798+26564+8286</f>
        <v>88648</v>
      </c>
      <c r="T500" s="6"/>
      <c r="U500" s="243">
        <f t="shared" si="87"/>
        <v>2.5222024260350653E-2</v>
      </c>
      <c r="W500">
        <f t="shared" si="88"/>
        <v>490</v>
      </c>
      <c r="Y500" s="56"/>
    </row>
    <row r="501" spans="3:25" x14ac:dyDescent="0.3">
      <c r="C501" s="157">
        <f t="shared" si="75"/>
        <v>44400</v>
      </c>
      <c r="E501" s="241">
        <v>2133264</v>
      </c>
      <c r="F501" s="7"/>
      <c r="G501" s="7">
        <v>1032256</v>
      </c>
      <c r="H501" s="7"/>
      <c r="I501" s="7">
        <v>352037</v>
      </c>
      <c r="J501" s="244"/>
      <c r="K501" s="7">
        <f t="shared" si="84"/>
        <v>3517557</v>
      </c>
      <c r="L501" s="6"/>
      <c r="M501" s="438">
        <f t="shared" si="85"/>
        <v>8.1116315276441326E-4</v>
      </c>
      <c r="N501" s="29"/>
      <c r="O501" s="29"/>
      <c r="P501" s="29"/>
      <c r="Q501" s="332">
        <f t="shared" si="86"/>
        <v>2851</v>
      </c>
      <c r="R501" s="6"/>
      <c r="S501" s="7">
        <f>53801+26568+8286</f>
        <v>88655</v>
      </c>
      <c r="T501" s="6"/>
      <c r="U501" s="243">
        <f t="shared" si="87"/>
        <v>2.5203571683415506E-2</v>
      </c>
      <c r="W501">
        <f t="shared" si="88"/>
        <v>491</v>
      </c>
      <c r="Y501" s="56"/>
    </row>
    <row r="502" spans="3:25" x14ac:dyDescent="0.3">
      <c r="C502" s="157">
        <f t="shared" si="75"/>
        <v>44401</v>
      </c>
      <c r="E502" s="241">
        <v>2135161</v>
      </c>
      <c r="F502" s="7"/>
      <c r="G502" s="7">
        <v>1033116</v>
      </c>
      <c r="H502" s="7"/>
      <c r="I502" s="7">
        <v>352037</v>
      </c>
      <c r="J502" s="244"/>
      <c r="K502" s="7">
        <f t="shared" si="84"/>
        <v>3520314</v>
      </c>
      <c r="L502" s="6"/>
      <c r="M502" s="438">
        <f t="shared" si="85"/>
        <v>7.837826082135982E-4</v>
      </c>
      <c r="N502" s="29"/>
      <c r="O502" s="29"/>
      <c r="P502" s="29"/>
      <c r="Q502" s="332">
        <f t="shared" si="86"/>
        <v>2757</v>
      </c>
      <c r="R502" s="6"/>
      <c r="S502" s="7">
        <f>53804+26573+8286</f>
        <v>88663</v>
      </c>
      <c r="T502" s="6"/>
      <c r="U502" s="243">
        <f t="shared" si="87"/>
        <v>2.5186105557629235E-2</v>
      </c>
      <c r="W502">
        <f t="shared" si="88"/>
        <v>492</v>
      </c>
      <c r="Y502" s="56"/>
    </row>
    <row r="503" spans="3:25" x14ac:dyDescent="0.3">
      <c r="C503" s="157">
        <f t="shared" si="75"/>
        <v>44402</v>
      </c>
      <c r="E503" s="241">
        <v>2136032</v>
      </c>
      <c r="F503" s="7"/>
      <c r="G503" s="7">
        <v>1033712</v>
      </c>
      <c r="H503" s="7"/>
      <c r="I503" s="7">
        <v>352037</v>
      </c>
      <c r="J503" s="244"/>
      <c r="K503" s="7">
        <f t="shared" si="84"/>
        <v>3521781</v>
      </c>
      <c r="L503" s="6"/>
      <c r="M503" s="438">
        <f t="shared" si="85"/>
        <v>4.1672418994441972E-4</v>
      </c>
      <c r="N503" s="29"/>
      <c r="O503" s="29"/>
      <c r="P503" s="29"/>
      <c r="Q503" s="332">
        <f t="shared" si="86"/>
        <v>1467</v>
      </c>
      <c r="R503" s="6"/>
      <c r="S503" s="7">
        <f>53813+26575+8286</f>
        <v>88674</v>
      </c>
      <c r="T503" s="6"/>
      <c r="U503" s="243">
        <f t="shared" si="87"/>
        <v>2.5178737689822279E-2</v>
      </c>
      <c r="W503">
        <f t="shared" si="88"/>
        <v>493</v>
      </c>
      <c r="Y503" s="56"/>
    </row>
    <row r="504" spans="3:25" x14ac:dyDescent="0.3">
      <c r="C504" s="157">
        <f t="shared" si="75"/>
        <v>44403</v>
      </c>
      <c r="E504" s="241">
        <v>2138643</v>
      </c>
      <c r="F504" s="7"/>
      <c r="G504" s="7">
        <v>1034233</v>
      </c>
      <c r="H504" s="7"/>
      <c r="I504" s="7">
        <v>352626</v>
      </c>
      <c r="J504" s="244"/>
      <c r="K504" s="7">
        <f t="shared" si="84"/>
        <v>3525502</v>
      </c>
      <c r="L504" s="6"/>
      <c r="M504" s="438">
        <f t="shared" si="85"/>
        <v>1.0565676854977638E-3</v>
      </c>
      <c r="N504" s="29"/>
      <c r="O504" s="29"/>
      <c r="P504" s="29"/>
      <c r="Q504" s="332">
        <f t="shared" si="86"/>
        <v>3721</v>
      </c>
      <c r="R504" s="6"/>
      <c r="S504" s="7">
        <f>53610+26579+8288</f>
        <v>88477</v>
      </c>
      <c r="T504" s="6"/>
      <c r="U504" s="243">
        <f t="shared" si="87"/>
        <v>2.5096284160383401E-2</v>
      </c>
      <c r="W504">
        <f t="shared" si="88"/>
        <v>494</v>
      </c>
      <c r="Y504" s="56"/>
    </row>
    <row r="505" spans="3:25" x14ac:dyDescent="0.3">
      <c r="C505" s="157">
        <f t="shared" si="75"/>
        <v>44404</v>
      </c>
      <c r="E505" s="241">
        <v>2140258</v>
      </c>
      <c r="F505" s="7"/>
      <c r="G505" s="7">
        <v>1035027</v>
      </c>
      <c r="H505" s="7"/>
      <c r="I505" s="7">
        <v>353114</v>
      </c>
      <c r="J505" s="244"/>
      <c r="K505" s="7">
        <f t="shared" ref="K505:K536" si="89">SUM(E505:I505)</f>
        <v>3528399</v>
      </c>
      <c r="L505" s="6"/>
      <c r="M505" s="438">
        <f t="shared" ref="M505:M536" si="90">+(K505-K504)/K504</f>
        <v>8.2172694838919395E-4</v>
      </c>
      <c r="N505" s="29"/>
      <c r="O505" s="29"/>
      <c r="P505" s="29"/>
      <c r="Q505" s="332">
        <f t="shared" ref="Q505:Q535" si="91">+K505-K504</f>
        <v>2897</v>
      </c>
      <c r="R505" s="6"/>
      <c r="S505" s="7">
        <f>53611+26586+8288</f>
        <v>88485</v>
      </c>
      <c r="T505" s="6"/>
      <c r="U505" s="243">
        <f t="shared" ref="U505:U537" si="92">+S505/K505</f>
        <v>2.5077946116638168E-2</v>
      </c>
      <c r="W505">
        <f t="shared" si="88"/>
        <v>495</v>
      </c>
      <c r="Y505" s="56"/>
    </row>
    <row r="506" spans="3:25" x14ac:dyDescent="0.3">
      <c r="C506" s="157">
        <f t="shared" si="75"/>
        <v>44405</v>
      </c>
      <c r="E506" s="241">
        <v>2142132</v>
      </c>
      <c r="F506" s="7"/>
      <c r="G506" s="7">
        <v>1035975</v>
      </c>
      <c r="H506" s="7"/>
      <c r="I506" s="7">
        <v>353505</v>
      </c>
      <c r="J506" s="244"/>
      <c r="K506" s="7">
        <f t="shared" si="89"/>
        <v>3531612</v>
      </c>
      <c r="L506" s="6"/>
      <c r="M506" s="438">
        <f t="shared" si="90"/>
        <v>9.1061129991250995E-4</v>
      </c>
      <c r="N506" s="29"/>
      <c r="O506" s="29"/>
      <c r="P506" s="29"/>
      <c r="Q506" s="332">
        <f t="shared" si="91"/>
        <v>3213</v>
      </c>
      <c r="R506" s="6"/>
      <c r="S506" s="7">
        <f>53623+26589+8288</f>
        <v>88500</v>
      </c>
      <c r="T506" s="6"/>
      <c r="U506" s="243">
        <f t="shared" si="92"/>
        <v>2.5059377983764921E-2</v>
      </c>
      <c r="W506">
        <f t="shared" si="88"/>
        <v>496</v>
      </c>
      <c r="Y506" s="56"/>
    </row>
    <row r="507" spans="3:25" x14ac:dyDescent="0.3">
      <c r="C507" s="157">
        <f t="shared" si="75"/>
        <v>44406</v>
      </c>
      <c r="E507" s="241">
        <v>2144741</v>
      </c>
      <c r="F507" s="7"/>
      <c r="G507" s="7">
        <v>1037052</v>
      </c>
      <c r="H507" s="7"/>
      <c r="I507" s="7">
        <v>353844</v>
      </c>
      <c r="J507" s="244"/>
      <c r="K507" s="7">
        <f t="shared" si="89"/>
        <v>3535637</v>
      </c>
      <c r="L507" s="6"/>
      <c r="M507" s="438">
        <f t="shared" si="90"/>
        <v>1.1397061738378962E-3</v>
      </c>
      <c r="N507" s="29"/>
      <c r="O507" s="29"/>
      <c r="P507" s="29"/>
      <c r="Q507" s="332">
        <f t="shared" si="91"/>
        <v>4025</v>
      </c>
      <c r="R507" s="6"/>
      <c r="S507" s="7">
        <f>53625+26590+8293</f>
        <v>88508</v>
      </c>
      <c r="T507" s="6"/>
      <c r="U507" s="243">
        <f t="shared" si="92"/>
        <v>2.5033112845012088E-2</v>
      </c>
      <c r="W507">
        <f t="shared" si="88"/>
        <v>497</v>
      </c>
      <c r="Y507" s="56"/>
    </row>
    <row r="508" spans="3:25" x14ac:dyDescent="0.3">
      <c r="C508" s="157">
        <f t="shared" ref="C508:C622" si="93">+C507+1</f>
        <v>44407</v>
      </c>
      <c r="E508" s="241">
        <v>2147318</v>
      </c>
      <c r="F508" s="7"/>
      <c r="G508" s="7">
        <v>1038171</v>
      </c>
      <c r="H508" s="7"/>
      <c r="I508" s="7">
        <v>354335</v>
      </c>
      <c r="J508" s="244"/>
      <c r="K508" s="7">
        <f t="shared" si="89"/>
        <v>3539824</v>
      </c>
      <c r="L508" s="6"/>
      <c r="M508" s="438">
        <f t="shared" si="90"/>
        <v>1.1842279057493741E-3</v>
      </c>
      <c r="N508" s="29"/>
      <c r="O508" s="29"/>
      <c r="P508" s="29"/>
      <c r="Q508" s="332">
        <f t="shared" si="91"/>
        <v>4187</v>
      </c>
      <c r="R508" s="6"/>
      <c r="S508" s="7">
        <f>53632+26595+8293</f>
        <v>88520</v>
      </c>
      <c r="T508" s="6"/>
      <c r="U508" s="243">
        <f t="shared" si="92"/>
        <v>2.5006892998069959E-2</v>
      </c>
      <c r="W508">
        <f t="shared" si="88"/>
        <v>498</v>
      </c>
      <c r="Y508" s="56"/>
    </row>
    <row r="509" spans="3:25" x14ac:dyDescent="0.3">
      <c r="C509" s="157">
        <f t="shared" si="93"/>
        <v>44408</v>
      </c>
      <c r="E509" s="241">
        <v>2150390</v>
      </c>
      <c r="F509" s="7"/>
      <c r="G509" s="7">
        <v>1039353</v>
      </c>
      <c r="H509" s="7"/>
      <c r="I509" s="7">
        <v>354335</v>
      </c>
      <c r="J509" s="244"/>
      <c r="K509" s="7">
        <f t="shared" si="89"/>
        <v>3544078</v>
      </c>
      <c r="L509" s="6"/>
      <c r="M509" s="438">
        <f t="shared" si="90"/>
        <v>1.2017546635086941E-3</v>
      </c>
      <c r="N509" s="29"/>
      <c r="O509" s="29"/>
      <c r="P509" s="29"/>
      <c r="Q509" s="332">
        <f t="shared" si="91"/>
        <v>4254</v>
      </c>
      <c r="R509" s="6"/>
      <c r="S509" s="7">
        <f>53641+26602+8293</f>
        <v>88536</v>
      </c>
      <c r="T509" s="6"/>
      <c r="U509" s="243">
        <f t="shared" si="92"/>
        <v>2.498139149307662E-2</v>
      </c>
      <c r="W509">
        <f t="shared" si="88"/>
        <v>499</v>
      </c>
      <c r="Y509" s="56"/>
    </row>
    <row r="510" spans="3:25" x14ac:dyDescent="0.3">
      <c r="C510" s="157">
        <f t="shared" si="93"/>
        <v>44409</v>
      </c>
      <c r="E510" s="241">
        <v>2152964</v>
      </c>
      <c r="F510" s="7"/>
      <c r="G510" s="7">
        <v>1040281</v>
      </c>
      <c r="H510" s="7"/>
      <c r="I510" s="7">
        <v>354335</v>
      </c>
      <c r="J510" s="244"/>
      <c r="K510" s="7">
        <f t="shared" si="89"/>
        <v>3547580</v>
      </c>
      <c r="L510" s="6"/>
      <c r="M510" s="438">
        <f t="shared" si="90"/>
        <v>9.8812723647730095E-4</v>
      </c>
      <c r="N510" s="29"/>
      <c r="O510" s="29"/>
      <c r="P510" s="29"/>
      <c r="Q510" s="332">
        <f t="shared" si="91"/>
        <v>3502</v>
      </c>
      <c r="R510" s="6"/>
      <c r="S510" s="7">
        <f>53650+26607+8293</f>
        <v>88550</v>
      </c>
      <c r="T510" s="6"/>
      <c r="U510" s="243">
        <f t="shared" si="92"/>
        <v>2.4960677419536698E-2</v>
      </c>
      <c r="W510">
        <f t="shared" si="88"/>
        <v>500</v>
      </c>
      <c r="Y510" s="56"/>
    </row>
    <row r="511" spans="3:25" x14ac:dyDescent="0.3">
      <c r="C511" s="157">
        <f t="shared" si="93"/>
        <v>44410</v>
      </c>
      <c r="E511" s="241">
        <v>2155356</v>
      </c>
      <c r="F511" s="7"/>
      <c r="G511" s="7">
        <v>1041159</v>
      </c>
      <c r="H511" s="7"/>
      <c r="I511" s="7">
        <v>355580</v>
      </c>
      <c r="J511" s="244"/>
      <c r="K511" s="7">
        <f t="shared" si="89"/>
        <v>3552095</v>
      </c>
      <c r="L511" s="6"/>
      <c r="M511" s="438">
        <f t="shared" si="90"/>
        <v>1.2726985719842823E-3</v>
      </c>
      <c r="N511" s="29"/>
      <c r="O511" s="29"/>
      <c r="P511" s="29"/>
      <c r="Q511" s="332">
        <f t="shared" si="91"/>
        <v>4515</v>
      </c>
      <c r="R511" s="6"/>
      <c r="S511" s="7">
        <f>53657+26606+8293</f>
        <v>88556</v>
      </c>
      <c r="T511" s="6"/>
      <c r="U511" s="243">
        <f t="shared" si="92"/>
        <v>2.4930639523999217E-2</v>
      </c>
      <c r="W511">
        <f t="shared" si="88"/>
        <v>501</v>
      </c>
      <c r="Y511" s="56"/>
    </row>
    <row r="512" spans="3:25" x14ac:dyDescent="0.3">
      <c r="C512" s="157">
        <f t="shared" si="93"/>
        <v>44411</v>
      </c>
      <c r="E512" s="241">
        <v>2158388</v>
      </c>
      <c r="F512" s="7"/>
      <c r="G512" s="7">
        <v>1042472</v>
      </c>
      <c r="H512" s="7"/>
      <c r="I512" s="7">
        <v>356164</v>
      </c>
      <c r="J512" s="244"/>
      <c r="K512" s="7">
        <f t="shared" si="89"/>
        <v>3557024</v>
      </c>
      <c r="L512" s="6"/>
      <c r="M512" s="438">
        <f t="shared" si="90"/>
        <v>1.3876318060187017E-3</v>
      </c>
      <c r="N512" s="29"/>
      <c r="O512" s="29"/>
      <c r="P512" s="29"/>
      <c r="Q512" s="332">
        <f t="shared" si="91"/>
        <v>4929</v>
      </c>
      <c r="R512" s="6"/>
      <c r="S512" s="7">
        <f>53670+26614+8292</f>
        <v>88576</v>
      </c>
      <c r="T512" s="6"/>
      <c r="U512" s="243">
        <f t="shared" si="92"/>
        <v>2.4901715591460725E-2</v>
      </c>
      <c r="W512">
        <f t="shared" si="88"/>
        <v>502</v>
      </c>
      <c r="Y512" s="56"/>
    </row>
    <row r="513" spans="3:25" x14ac:dyDescent="0.3">
      <c r="C513" s="157">
        <f t="shared" si="93"/>
        <v>44412</v>
      </c>
      <c r="E513" s="241">
        <v>2161314</v>
      </c>
      <c r="F513" s="7"/>
      <c r="G513" s="7">
        <v>1043702</v>
      </c>
      <c r="H513" s="7"/>
      <c r="I513" s="7">
        <v>356701</v>
      </c>
      <c r="J513" s="244"/>
      <c r="K513" s="7">
        <f t="shared" si="89"/>
        <v>3561717</v>
      </c>
      <c r="L513" s="6"/>
      <c r="M513" s="438">
        <f t="shared" si="90"/>
        <v>1.3193613537608967E-3</v>
      </c>
      <c r="N513" s="29"/>
      <c r="O513" s="29"/>
      <c r="P513" s="29"/>
      <c r="Q513" s="332">
        <f t="shared" si="91"/>
        <v>4693</v>
      </c>
      <c r="R513" s="6"/>
      <c r="S513" s="7">
        <f>53676+26625+8292</f>
        <v>88593</v>
      </c>
      <c r="T513" s="6"/>
      <c r="U513" s="243">
        <f t="shared" si="92"/>
        <v>2.487367749880184E-2</v>
      </c>
      <c r="W513">
        <f t="shared" si="88"/>
        <v>503</v>
      </c>
      <c r="Y513" s="56"/>
    </row>
    <row r="514" spans="3:25" x14ac:dyDescent="0.3">
      <c r="C514" s="157">
        <f t="shared" si="93"/>
        <v>44413</v>
      </c>
      <c r="E514" s="241">
        <v>2164850</v>
      </c>
      <c r="F514" s="7"/>
      <c r="G514" s="7">
        <v>1045168</v>
      </c>
      <c r="H514" s="7"/>
      <c r="I514" s="7">
        <v>357345</v>
      </c>
      <c r="J514" s="244"/>
      <c r="K514" s="7">
        <f t="shared" si="89"/>
        <v>3567363</v>
      </c>
      <c r="L514" s="6"/>
      <c r="M514" s="438">
        <f t="shared" si="90"/>
        <v>1.5851905134517986E-3</v>
      </c>
      <c r="N514" s="29"/>
      <c r="O514" s="29"/>
      <c r="P514" s="29"/>
      <c r="Q514" s="332">
        <f t="shared" si="91"/>
        <v>5646</v>
      </c>
      <c r="R514" s="6"/>
      <c r="S514" s="7">
        <f>53691+26629+8296</f>
        <v>88616</v>
      </c>
      <c r="T514" s="6"/>
      <c r="U514" s="243">
        <f t="shared" si="92"/>
        <v>2.4840757724963788E-2</v>
      </c>
      <c r="W514">
        <f t="shared" si="88"/>
        <v>504</v>
      </c>
      <c r="Y514" s="56"/>
    </row>
    <row r="515" spans="3:25" x14ac:dyDescent="0.3">
      <c r="C515" s="157">
        <f t="shared" si="93"/>
        <v>44414</v>
      </c>
      <c r="E515" s="241">
        <v>2168589</v>
      </c>
      <c r="F515" s="7"/>
      <c r="G515" s="7">
        <v>1046514</v>
      </c>
      <c r="H515" s="7"/>
      <c r="I515" s="7">
        <v>358076</v>
      </c>
      <c r="J515" s="244"/>
      <c r="K515" s="7">
        <f t="shared" si="89"/>
        <v>3573179</v>
      </c>
      <c r="L515" s="6"/>
      <c r="M515" s="438">
        <f t="shared" si="90"/>
        <v>1.6303359091855805E-3</v>
      </c>
      <c r="N515" s="29"/>
      <c r="O515" s="29"/>
      <c r="P515" s="29"/>
      <c r="Q515" s="332">
        <f t="shared" si="91"/>
        <v>5816</v>
      </c>
      <c r="R515" s="6"/>
      <c r="S515" s="7">
        <f>53694+26636+8296</f>
        <v>88626</v>
      </c>
      <c r="T515" s="6"/>
      <c r="U515" s="243">
        <f t="shared" si="92"/>
        <v>2.4803123493113557E-2</v>
      </c>
      <c r="W515">
        <f t="shared" si="88"/>
        <v>505</v>
      </c>
      <c r="Y515" s="56"/>
    </row>
    <row r="516" spans="3:25" x14ac:dyDescent="0.3">
      <c r="C516" s="157">
        <f t="shared" si="93"/>
        <v>44415</v>
      </c>
      <c r="E516" s="241">
        <v>2173080</v>
      </c>
      <c r="F516" s="7"/>
      <c r="G516" s="7">
        <v>1048053</v>
      </c>
      <c r="H516" s="7"/>
      <c r="I516" s="7">
        <v>358076</v>
      </c>
      <c r="J516" s="244"/>
      <c r="K516" s="7">
        <f t="shared" si="89"/>
        <v>3579209</v>
      </c>
      <c r="L516" s="6"/>
      <c r="M516" s="438">
        <f t="shared" si="90"/>
        <v>1.687572886776733E-3</v>
      </c>
      <c r="N516" s="29"/>
      <c r="O516" s="29"/>
      <c r="P516" s="29"/>
      <c r="Q516" s="332">
        <f t="shared" si="91"/>
        <v>6030</v>
      </c>
      <c r="R516" s="6"/>
      <c r="S516" s="7">
        <f>53729+26645+8296</f>
        <v>88670</v>
      </c>
      <c r="T516" s="6"/>
      <c r="U516" s="243">
        <f t="shared" si="92"/>
        <v>2.4773630151242915E-2</v>
      </c>
      <c r="W516">
        <f t="shared" si="88"/>
        <v>506</v>
      </c>
      <c r="Y516" s="56"/>
    </row>
    <row r="517" spans="3:25" x14ac:dyDescent="0.3">
      <c r="C517" s="157">
        <f t="shared" si="93"/>
        <v>44416</v>
      </c>
      <c r="E517" s="241">
        <v>2176658</v>
      </c>
      <c r="F517" s="7"/>
      <c r="G517" s="7">
        <v>1049222</v>
      </c>
      <c r="H517" s="7"/>
      <c r="I517" s="7">
        <v>358076</v>
      </c>
      <c r="J517" s="244"/>
      <c r="K517" s="7">
        <f t="shared" si="89"/>
        <v>3583956</v>
      </c>
      <c r="L517" s="6"/>
      <c r="M517" s="438">
        <f t="shared" si="90"/>
        <v>1.3262706927703858E-3</v>
      </c>
      <c r="N517" s="29"/>
      <c r="O517" s="29"/>
      <c r="P517" s="29"/>
      <c r="Q517" s="332">
        <f t="shared" si="91"/>
        <v>4747</v>
      </c>
      <c r="R517" s="6"/>
      <c r="S517" s="7">
        <f>53744+26650+8296</f>
        <v>88690</v>
      </c>
      <c r="T517" s="6"/>
      <c r="U517" s="243">
        <f t="shared" si="92"/>
        <v>2.4746397556219997E-2</v>
      </c>
      <c r="W517">
        <f t="shared" si="88"/>
        <v>507</v>
      </c>
      <c r="Y517" s="56"/>
    </row>
    <row r="518" spans="3:25" x14ac:dyDescent="0.3">
      <c r="C518" s="157">
        <f t="shared" si="93"/>
        <v>44417</v>
      </c>
      <c r="E518" s="241">
        <v>2178724</v>
      </c>
      <c r="F518" s="7"/>
      <c r="G518" s="7">
        <v>1050083</v>
      </c>
      <c r="H518" s="7"/>
      <c r="I518" s="7">
        <v>359363</v>
      </c>
      <c r="J518" s="244"/>
      <c r="K518" s="7">
        <f t="shared" si="89"/>
        <v>3588170</v>
      </c>
      <c r="L518" s="6"/>
      <c r="M518" s="438">
        <f t="shared" si="90"/>
        <v>1.1757956849916685E-3</v>
      </c>
      <c r="N518" s="29"/>
      <c r="O518" s="29"/>
      <c r="P518" s="29"/>
      <c r="Q518" s="332">
        <f t="shared" si="91"/>
        <v>4214</v>
      </c>
      <c r="R518" s="6"/>
      <c r="S518" s="7">
        <f>53750+26650+8296</f>
        <v>88696</v>
      </c>
      <c r="T518" s="6"/>
      <c r="U518" s="243">
        <f t="shared" si="92"/>
        <v>2.4719007181933966E-2</v>
      </c>
      <c r="W518">
        <f t="shared" si="88"/>
        <v>508</v>
      </c>
      <c r="Y518" s="56"/>
    </row>
    <row r="519" spans="3:25" x14ac:dyDescent="0.3">
      <c r="C519" s="157">
        <f t="shared" si="93"/>
        <v>44418</v>
      </c>
      <c r="E519" s="241">
        <v>2180696</v>
      </c>
      <c r="F519" s="7"/>
      <c r="G519" s="7">
        <v>1051712</v>
      </c>
      <c r="H519" s="7"/>
      <c r="I519" s="7">
        <v>359638</v>
      </c>
      <c r="J519" s="244"/>
      <c r="K519" s="7">
        <f t="shared" si="89"/>
        <v>3592046</v>
      </c>
      <c r="L519" s="6"/>
      <c r="M519" s="438">
        <f t="shared" si="90"/>
        <v>1.0802163777078567E-3</v>
      </c>
      <c r="N519" s="29"/>
      <c r="O519" s="29"/>
      <c r="P519" s="29"/>
      <c r="Q519" s="332">
        <f t="shared" si="91"/>
        <v>3876</v>
      </c>
      <c r="R519" s="6"/>
      <c r="S519" s="7">
        <f>53758+26659+8297</f>
        <v>88714</v>
      </c>
      <c r="T519" s="6"/>
      <c r="U519" s="243">
        <f t="shared" si="92"/>
        <v>2.4697345189900129E-2</v>
      </c>
      <c r="W519">
        <f t="shared" si="88"/>
        <v>509</v>
      </c>
      <c r="Y519" s="56"/>
    </row>
    <row r="520" spans="3:25" x14ac:dyDescent="0.3">
      <c r="C520" s="157">
        <f t="shared" si="93"/>
        <v>44419</v>
      </c>
      <c r="E520" s="241">
        <v>2187349</v>
      </c>
      <c r="F520" s="7"/>
      <c r="G520" s="7">
        <v>1053398</v>
      </c>
      <c r="H520" s="7"/>
      <c r="I520" s="7">
        <v>360552</v>
      </c>
      <c r="J520" s="244"/>
      <c r="K520" s="7">
        <f t="shared" si="89"/>
        <v>3601299</v>
      </c>
      <c r="L520" s="6"/>
      <c r="M520" s="438">
        <f t="shared" si="90"/>
        <v>2.5759692387012862E-3</v>
      </c>
      <c r="N520" s="29"/>
      <c r="O520" s="29"/>
      <c r="P520" s="29"/>
      <c r="Q520" s="332">
        <f t="shared" si="91"/>
        <v>9253</v>
      </c>
      <c r="R520" s="6"/>
      <c r="S520" s="7">
        <f>53797+26665+8297</f>
        <v>88759</v>
      </c>
      <c r="T520" s="6"/>
      <c r="U520" s="243">
        <f t="shared" si="92"/>
        <v>2.4646384540689344E-2</v>
      </c>
      <c r="W520">
        <f t="shared" si="88"/>
        <v>510</v>
      </c>
      <c r="Y520" s="56"/>
    </row>
    <row r="521" spans="3:25" x14ac:dyDescent="0.3">
      <c r="C521" s="157">
        <f t="shared" si="93"/>
        <v>44420</v>
      </c>
      <c r="E521" s="241">
        <v>2192224</v>
      </c>
      <c r="F521" s="7"/>
      <c r="G521" s="7">
        <v>1055252</v>
      </c>
      <c r="H521" s="7"/>
      <c r="I521" s="7">
        <v>361294</v>
      </c>
      <c r="J521" s="244"/>
      <c r="K521" s="7">
        <f t="shared" si="89"/>
        <v>3608770</v>
      </c>
      <c r="L521" s="6"/>
      <c r="M521" s="438">
        <f t="shared" si="90"/>
        <v>2.0745292184847744E-3</v>
      </c>
      <c r="N521" s="29"/>
      <c r="O521" s="29"/>
      <c r="P521" s="29"/>
      <c r="Q521" s="332">
        <f t="shared" si="91"/>
        <v>7471</v>
      </c>
      <c r="R521" s="6"/>
      <c r="S521" s="7">
        <f>53828+26672+8307</f>
        <v>88807</v>
      </c>
      <c r="T521" s="6"/>
      <c r="U521" s="243">
        <f t="shared" si="92"/>
        <v>2.4608661676970268E-2</v>
      </c>
      <c r="W521">
        <f t="shared" si="88"/>
        <v>511</v>
      </c>
      <c r="Y521" s="56"/>
    </row>
    <row r="522" spans="3:25" x14ac:dyDescent="0.3">
      <c r="C522" s="157">
        <f t="shared" si="93"/>
        <v>44421</v>
      </c>
      <c r="E522" s="241">
        <v>2196866</v>
      </c>
      <c r="F522" s="7"/>
      <c r="G522" s="7">
        <v>1057096</v>
      </c>
      <c r="H522" s="7"/>
      <c r="I522" s="7">
        <v>361836</v>
      </c>
      <c r="J522" s="244"/>
      <c r="K522" s="7">
        <f t="shared" si="89"/>
        <v>3615798</v>
      </c>
      <c r="L522" s="6"/>
      <c r="M522" s="438">
        <f t="shared" si="90"/>
        <v>1.9474779495506779E-3</v>
      </c>
      <c r="N522" s="29"/>
      <c r="O522" s="29"/>
      <c r="P522" s="29"/>
      <c r="Q522" s="332">
        <f t="shared" si="91"/>
        <v>7028</v>
      </c>
      <c r="R522" s="6"/>
      <c r="S522" s="7">
        <f>53840+26681+8307</f>
        <v>88828</v>
      </c>
      <c r="T522" s="6"/>
      <c r="U522" s="243">
        <f t="shared" si="92"/>
        <v>2.4566637848685131E-2</v>
      </c>
      <c r="W522">
        <f t="shared" si="88"/>
        <v>512</v>
      </c>
      <c r="Y522" s="56"/>
    </row>
    <row r="523" spans="3:25" x14ac:dyDescent="0.3">
      <c r="C523" s="157">
        <f t="shared" si="93"/>
        <v>44422</v>
      </c>
      <c r="E523" s="241">
        <v>2201468</v>
      </c>
      <c r="F523" s="7"/>
      <c r="G523" s="7">
        <v>1059660</v>
      </c>
      <c r="H523" s="7"/>
      <c r="I523" s="7">
        <v>361836</v>
      </c>
      <c r="J523" s="244"/>
      <c r="K523" s="7">
        <f t="shared" si="89"/>
        <v>3622964</v>
      </c>
      <c r="L523" s="6"/>
      <c r="M523" s="438">
        <f t="shared" si="90"/>
        <v>1.9818584998387632E-3</v>
      </c>
      <c r="N523" s="29"/>
      <c r="O523" s="29"/>
      <c r="P523" s="29"/>
      <c r="Q523" s="332">
        <f t="shared" si="91"/>
        <v>7166</v>
      </c>
      <c r="R523" s="6"/>
      <c r="S523" s="7">
        <f>53855+26692+8307</f>
        <v>88854</v>
      </c>
      <c r="T523" s="6"/>
      <c r="U523" s="243">
        <f t="shared" si="92"/>
        <v>2.4525222994211369E-2</v>
      </c>
      <c r="W523">
        <f t="shared" si="88"/>
        <v>513</v>
      </c>
      <c r="Y523" s="56"/>
    </row>
    <row r="524" spans="3:25" x14ac:dyDescent="0.3">
      <c r="C524" s="157">
        <f t="shared" si="93"/>
        <v>44423</v>
      </c>
      <c r="E524" s="241">
        <v>2201523</v>
      </c>
      <c r="F524" s="7"/>
      <c r="G524" s="7">
        <v>1060934</v>
      </c>
      <c r="H524" s="7"/>
      <c r="I524" s="7">
        <v>361836</v>
      </c>
      <c r="J524" s="244"/>
      <c r="K524" s="7">
        <f t="shared" si="89"/>
        <v>3624293</v>
      </c>
      <c r="L524" s="6"/>
      <c r="M524" s="438">
        <f t="shared" si="90"/>
        <v>3.668267197797163E-4</v>
      </c>
      <c r="N524" s="29"/>
      <c r="O524" s="29"/>
      <c r="P524" s="29"/>
      <c r="Q524" s="332">
        <f t="shared" si="91"/>
        <v>1329</v>
      </c>
      <c r="R524" s="6"/>
      <c r="S524" s="7">
        <f>54067+26695+8307</f>
        <v>89069</v>
      </c>
      <c r="T524" s="6"/>
      <c r="U524" s="243">
        <f t="shared" si="92"/>
        <v>2.457555170070411E-2</v>
      </c>
      <c r="W524">
        <f t="shared" si="88"/>
        <v>514</v>
      </c>
      <c r="Y524" s="56"/>
    </row>
    <row r="525" spans="3:25" x14ac:dyDescent="0.3">
      <c r="C525" s="157">
        <f t="shared" si="93"/>
        <v>44424</v>
      </c>
      <c r="E525" s="241">
        <v>2208000</v>
      </c>
      <c r="F525" s="7"/>
      <c r="G525" s="7">
        <v>1062500</v>
      </c>
      <c r="H525" s="7"/>
      <c r="I525" s="7">
        <v>362500</v>
      </c>
      <c r="J525" s="244"/>
      <c r="K525" s="7">
        <f t="shared" si="89"/>
        <v>3633000</v>
      </c>
      <c r="L525" s="6"/>
      <c r="M525" s="438">
        <f t="shared" si="90"/>
        <v>2.4023995852432462E-3</v>
      </c>
      <c r="N525" s="29"/>
      <c r="O525" s="29"/>
      <c r="P525" s="29"/>
      <c r="Q525" s="332">
        <f t="shared" si="91"/>
        <v>8707</v>
      </c>
      <c r="R525" s="6"/>
      <c r="S525" s="7">
        <f>54067+26695+8307</f>
        <v>89069</v>
      </c>
      <c r="T525" s="6"/>
      <c r="U525" s="243">
        <f t="shared" si="92"/>
        <v>2.4516652903936141E-2</v>
      </c>
      <c r="W525">
        <f t="shared" si="88"/>
        <v>515</v>
      </c>
      <c r="Y525" s="56"/>
    </row>
    <row r="526" spans="3:25" x14ac:dyDescent="0.3">
      <c r="C526" s="157">
        <f t="shared" si="93"/>
        <v>44425</v>
      </c>
      <c r="E526" s="241">
        <v>2213176</v>
      </c>
      <c r="F526" s="7"/>
      <c r="G526" s="7">
        <v>1064059</v>
      </c>
      <c r="H526" s="7"/>
      <c r="I526" s="7">
        <v>363417</v>
      </c>
      <c r="J526" s="244"/>
      <c r="K526" s="7">
        <f t="shared" si="89"/>
        <v>3640652</v>
      </c>
      <c r="L526" s="6"/>
      <c r="M526" s="438">
        <f t="shared" si="90"/>
        <v>2.1062482796586845E-3</v>
      </c>
      <c r="N526" s="29"/>
      <c r="O526" s="29"/>
      <c r="P526" s="29"/>
      <c r="Q526" s="332">
        <f t="shared" si="91"/>
        <v>7652</v>
      </c>
      <c r="R526" s="6"/>
      <c r="S526" s="7">
        <f>54136+26716+8304</f>
        <v>89156</v>
      </c>
      <c r="T526" s="6"/>
      <c r="U526" s="243">
        <f t="shared" si="92"/>
        <v>2.4489020098597724E-2</v>
      </c>
      <c r="W526">
        <f t="shared" si="88"/>
        <v>516</v>
      </c>
      <c r="Y526" s="56"/>
    </row>
    <row r="527" spans="3:25" x14ac:dyDescent="0.3">
      <c r="C527" s="157">
        <f t="shared" si="93"/>
        <v>44426</v>
      </c>
      <c r="E527" s="241">
        <v>2217969</v>
      </c>
      <c r="F527" s="7"/>
      <c r="G527" s="7">
        <v>1065736</v>
      </c>
      <c r="H527" s="7"/>
      <c r="I527" s="7">
        <v>364891</v>
      </c>
      <c r="J527" s="244"/>
      <c r="K527" s="7">
        <f t="shared" si="89"/>
        <v>3648596</v>
      </c>
      <c r="L527" s="6"/>
      <c r="M527" s="438">
        <f t="shared" si="90"/>
        <v>2.1820267358703882E-3</v>
      </c>
      <c r="N527" s="29"/>
      <c r="O527" s="29"/>
      <c r="P527" s="29"/>
      <c r="Q527" s="332">
        <f t="shared" si="91"/>
        <v>7944</v>
      </c>
      <c r="R527" s="6"/>
      <c r="S527" s="7">
        <f>53939+26721+8307</f>
        <v>88967</v>
      </c>
      <c r="T527" s="6"/>
      <c r="U527" s="243">
        <f t="shared" si="92"/>
        <v>2.4383899998794055E-2</v>
      </c>
      <c r="W527">
        <f t="shared" si="88"/>
        <v>517</v>
      </c>
      <c r="Y527" s="56"/>
    </row>
    <row r="528" spans="3:25" x14ac:dyDescent="0.3">
      <c r="C528" s="157">
        <f t="shared" si="93"/>
        <v>44427</v>
      </c>
      <c r="E528" s="241">
        <v>2223052</v>
      </c>
      <c r="F528" s="7"/>
      <c r="G528" s="7">
        <v>1067758</v>
      </c>
      <c r="H528" s="7"/>
      <c r="I528" s="7">
        <v>365425</v>
      </c>
      <c r="J528" s="244"/>
      <c r="K528" s="7">
        <f t="shared" si="89"/>
        <v>3656235</v>
      </c>
      <c r="L528" s="6"/>
      <c r="M528" s="438">
        <f t="shared" si="90"/>
        <v>2.0936820629085819E-3</v>
      </c>
      <c r="N528" s="29"/>
      <c r="O528" s="29"/>
      <c r="P528" s="29"/>
      <c r="Q528" s="332">
        <f t="shared" si="91"/>
        <v>7639</v>
      </c>
      <c r="R528" s="6"/>
      <c r="S528" s="7">
        <f>53959+26731+8330</f>
        <v>89020</v>
      </c>
      <c r="T528" s="6"/>
      <c r="U528" s="243">
        <f t="shared" si="92"/>
        <v>2.4347450314326075E-2</v>
      </c>
      <c r="W528">
        <f t="shared" si="88"/>
        <v>518</v>
      </c>
      <c r="Y528" s="56"/>
    </row>
    <row r="529" spans="3:25" x14ac:dyDescent="0.3">
      <c r="C529" s="157">
        <f t="shared" si="93"/>
        <v>44428</v>
      </c>
      <c r="E529" s="241">
        <v>2227140</v>
      </c>
      <c r="F529" s="7"/>
      <c r="G529" s="7">
        <v>1070698</v>
      </c>
      <c r="H529" s="7"/>
      <c r="I529" s="7">
        <v>365856</v>
      </c>
      <c r="J529" s="244"/>
      <c r="K529" s="7">
        <f t="shared" si="89"/>
        <v>3663694</v>
      </c>
      <c r="L529" s="6"/>
      <c r="M529" s="438">
        <f t="shared" si="90"/>
        <v>2.040076745613999E-3</v>
      </c>
      <c r="N529" s="29"/>
      <c r="O529" s="29"/>
      <c r="P529" s="29"/>
      <c r="Q529" s="332">
        <f t="shared" si="91"/>
        <v>7459</v>
      </c>
      <c r="R529" s="6"/>
      <c r="S529" s="7">
        <f>53974+26739+8337</f>
        <v>89050</v>
      </c>
      <c r="T529" s="6"/>
      <c r="U529" s="243">
        <f t="shared" si="92"/>
        <v>2.4306069229580854E-2</v>
      </c>
      <c r="W529">
        <f t="shared" si="88"/>
        <v>519</v>
      </c>
      <c r="Y529" s="56"/>
    </row>
    <row r="530" spans="3:25" x14ac:dyDescent="0.3">
      <c r="C530" s="157">
        <f t="shared" si="93"/>
        <v>44429</v>
      </c>
      <c r="E530" s="241">
        <v>2233083</v>
      </c>
      <c r="F530" s="7"/>
      <c r="G530" s="7">
        <v>1072856</v>
      </c>
      <c r="H530" s="7"/>
      <c r="I530" s="7">
        <v>365856</v>
      </c>
      <c r="J530" s="244"/>
      <c r="K530" s="7">
        <f t="shared" si="89"/>
        <v>3671795</v>
      </c>
      <c r="L530" s="6"/>
      <c r="M530" s="438">
        <f t="shared" si="90"/>
        <v>2.2111562810649579E-3</v>
      </c>
      <c r="N530" s="29"/>
      <c r="O530" s="29"/>
      <c r="P530" s="29"/>
      <c r="Q530" s="332">
        <f t="shared" si="91"/>
        <v>8101</v>
      </c>
      <c r="R530" s="6"/>
      <c r="S530" s="7">
        <f>54012+26750+8337</f>
        <v>89099</v>
      </c>
      <c r="T530" s="6"/>
      <c r="U530" s="243">
        <f t="shared" si="92"/>
        <v>2.4265788258876108E-2</v>
      </c>
      <c r="W530">
        <f t="shared" si="88"/>
        <v>520</v>
      </c>
      <c r="Y530" s="56"/>
    </row>
    <row r="531" spans="3:25" x14ac:dyDescent="0.3">
      <c r="C531" s="157">
        <f t="shared" si="93"/>
        <v>44430</v>
      </c>
      <c r="E531" s="241">
        <v>2237639</v>
      </c>
      <c r="F531" s="7"/>
      <c r="G531" s="7">
        <v>1074306</v>
      </c>
      <c r="H531" s="7"/>
      <c r="I531" s="7">
        <v>365856</v>
      </c>
      <c r="J531" s="244"/>
      <c r="K531" s="7">
        <f t="shared" si="89"/>
        <v>3677801</v>
      </c>
      <c r="L531" s="6"/>
      <c r="M531" s="438">
        <f t="shared" si="90"/>
        <v>1.635712233389936E-3</v>
      </c>
      <c r="N531" s="29"/>
      <c r="O531" s="29"/>
      <c r="P531" s="29"/>
      <c r="Q531" s="332">
        <f t="shared" si="91"/>
        <v>6006</v>
      </c>
      <c r="R531" s="6"/>
      <c r="S531" s="7">
        <f>54029+26752+8337</f>
        <v>89118</v>
      </c>
      <c r="T531" s="6"/>
      <c r="U531" s="243">
        <f t="shared" si="92"/>
        <v>2.4231327361105181E-2</v>
      </c>
      <c r="W531">
        <f t="shared" si="88"/>
        <v>521</v>
      </c>
      <c r="Y531" s="56"/>
    </row>
    <row r="532" spans="3:25" x14ac:dyDescent="0.3">
      <c r="C532" s="157">
        <f t="shared" si="93"/>
        <v>44431</v>
      </c>
      <c r="E532" s="241">
        <v>2241468</v>
      </c>
      <c r="F532" s="7"/>
      <c r="G532" s="7">
        <v>1075930</v>
      </c>
      <c r="H532" s="7"/>
      <c r="I532" s="7">
        <v>367410</v>
      </c>
      <c r="J532" s="244"/>
      <c r="K532" s="7">
        <f t="shared" si="89"/>
        <v>3684808</v>
      </c>
      <c r="L532" s="6"/>
      <c r="M532" s="438">
        <f t="shared" si="90"/>
        <v>1.9052145561981194E-3</v>
      </c>
      <c r="N532" s="29"/>
      <c r="O532" s="29"/>
      <c r="P532" s="29"/>
      <c r="Q532" s="332">
        <f t="shared" si="91"/>
        <v>7007</v>
      </c>
      <c r="R532" s="6"/>
      <c r="S532" s="7">
        <f>54054+26755+8335</f>
        <v>89144</v>
      </c>
      <c r="T532" s="6"/>
      <c r="U532" s="243">
        <f t="shared" si="92"/>
        <v>2.4192305270722383E-2</v>
      </c>
      <c r="W532">
        <f t="shared" si="88"/>
        <v>522</v>
      </c>
      <c r="Y532" s="56"/>
    </row>
    <row r="533" spans="3:25" x14ac:dyDescent="0.3">
      <c r="C533" s="157">
        <f t="shared" si="93"/>
        <v>44432</v>
      </c>
      <c r="E533" s="241">
        <v>2241468</v>
      </c>
      <c r="F533" s="7"/>
      <c r="G533" s="7">
        <v>1077787</v>
      </c>
      <c r="H533" s="7"/>
      <c r="I533" s="7">
        <v>367410</v>
      </c>
      <c r="J533" s="244"/>
      <c r="K533" s="7">
        <f t="shared" si="89"/>
        <v>3686665</v>
      </c>
      <c r="L533" s="6"/>
      <c r="M533" s="438">
        <f t="shared" si="90"/>
        <v>5.0396112904661523E-4</v>
      </c>
      <c r="N533" s="29"/>
      <c r="O533" s="29"/>
      <c r="P533" s="29"/>
      <c r="Q533" s="332">
        <f t="shared" si="91"/>
        <v>1857</v>
      </c>
      <c r="R533" s="6"/>
      <c r="S533" s="7">
        <f>54054+26775+8335</f>
        <v>89164</v>
      </c>
      <c r="T533" s="6"/>
      <c r="U533" s="243">
        <f t="shared" si="92"/>
        <v>2.4185544387678296E-2</v>
      </c>
      <c r="W533">
        <f t="shared" si="88"/>
        <v>523</v>
      </c>
      <c r="Y533" s="56"/>
    </row>
    <row r="534" spans="3:25" x14ac:dyDescent="0.3">
      <c r="C534" s="157">
        <f t="shared" si="93"/>
        <v>44433</v>
      </c>
      <c r="E534" s="241">
        <v>2248791</v>
      </c>
      <c r="F534" s="7"/>
      <c r="G534" s="7">
        <v>1079900</v>
      </c>
      <c r="H534" s="7"/>
      <c r="I534" s="7">
        <v>369132</v>
      </c>
      <c r="J534" s="244"/>
      <c r="K534" s="7">
        <f t="shared" si="89"/>
        <v>3697823</v>
      </c>
      <c r="L534" s="6"/>
      <c r="M534" s="438">
        <f t="shared" si="90"/>
        <v>3.0265836467376342E-3</v>
      </c>
      <c r="N534" s="29"/>
      <c r="O534" s="29"/>
      <c r="P534" s="29"/>
      <c r="Q534" s="332">
        <f t="shared" si="91"/>
        <v>11158</v>
      </c>
      <c r="R534" s="6"/>
      <c r="S534" s="7">
        <f>54100+26796+8335</f>
        <v>89231</v>
      </c>
      <c r="T534" s="6"/>
      <c r="U534" s="243">
        <f t="shared" si="92"/>
        <v>2.4130684459477914E-2</v>
      </c>
      <c r="W534">
        <f t="shared" si="88"/>
        <v>524</v>
      </c>
      <c r="Y534" s="56"/>
    </row>
    <row r="535" spans="3:25" x14ac:dyDescent="0.3">
      <c r="C535" s="157">
        <f t="shared" si="93"/>
        <v>44434</v>
      </c>
      <c r="E535" s="241">
        <v>2254155</v>
      </c>
      <c r="F535" s="7"/>
      <c r="G535" s="7">
        <v>1081954</v>
      </c>
      <c r="H535" s="7"/>
      <c r="I535" s="7">
        <v>369920</v>
      </c>
      <c r="J535" s="244"/>
      <c r="K535" s="7">
        <f t="shared" si="89"/>
        <v>3706029</v>
      </c>
      <c r="L535" s="6"/>
      <c r="M535" s="438">
        <f t="shared" si="90"/>
        <v>2.2191435339117098E-3</v>
      </c>
      <c r="N535" s="29"/>
      <c r="O535" s="29"/>
      <c r="P535" s="29"/>
      <c r="Q535" s="332">
        <f t="shared" si="91"/>
        <v>8206</v>
      </c>
      <c r="R535" s="6"/>
      <c r="S535" s="7">
        <f>54130+26807+8355</f>
        <v>89292</v>
      </c>
      <c r="T535" s="6"/>
      <c r="U535" s="243">
        <f t="shared" si="92"/>
        <v>2.409371324401401E-2</v>
      </c>
      <c r="W535">
        <f t="shared" si="88"/>
        <v>525</v>
      </c>
      <c r="Y535" s="56"/>
    </row>
    <row r="536" spans="3:25" x14ac:dyDescent="0.3">
      <c r="C536" s="157">
        <f t="shared" si="93"/>
        <v>44435</v>
      </c>
      <c r="E536" s="241">
        <v>2260536</v>
      </c>
      <c r="F536" s="7"/>
      <c r="G536" s="7">
        <v>1084546</v>
      </c>
      <c r="H536" s="7"/>
      <c r="I536" s="7">
        <v>370708</v>
      </c>
      <c r="J536" s="244"/>
      <c r="K536" s="7">
        <f t="shared" si="89"/>
        <v>3715790</v>
      </c>
      <c r="L536" s="6"/>
      <c r="M536" s="438">
        <f t="shared" si="90"/>
        <v>2.633816411042655E-3</v>
      </c>
      <c r="N536" s="29"/>
      <c r="O536" s="29"/>
      <c r="P536" s="29"/>
      <c r="Q536" s="332">
        <f t="shared" ref="Q536:Q542" si="94">+K536-K535</f>
        <v>9761</v>
      </c>
      <c r="R536" s="6"/>
      <c r="S536" s="7">
        <f>54152+26826+8358</f>
        <v>89336</v>
      </c>
      <c r="T536" s="6"/>
      <c r="U536" s="243">
        <f t="shared" si="92"/>
        <v>2.4042262883532169E-2</v>
      </c>
      <c r="W536">
        <f t="shared" si="88"/>
        <v>526</v>
      </c>
      <c r="Y536" s="56"/>
    </row>
    <row r="537" spans="3:25" x14ac:dyDescent="0.3">
      <c r="C537" s="157">
        <f t="shared" si="93"/>
        <v>44436</v>
      </c>
      <c r="E537" s="241">
        <v>2262893</v>
      </c>
      <c r="F537" s="7"/>
      <c r="G537" s="7">
        <v>1086480</v>
      </c>
      <c r="H537" s="7"/>
      <c r="I537" s="7">
        <v>370708</v>
      </c>
      <c r="J537" s="244"/>
      <c r="K537" s="7">
        <f t="shared" ref="K537:K552" si="95">SUM(E537:I537)</f>
        <v>3720081</v>
      </c>
      <c r="L537" s="6"/>
      <c r="M537" s="438">
        <f t="shared" ref="M537:M552" si="96">+(K537-K536)/K536</f>
        <v>1.1548015361470911E-3</v>
      </c>
      <c r="N537" s="29"/>
      <c r="O537" s="29"/>
      <c r="P537" s="29"/>
      <c r="Q537" s="332">
        <f t="shared" si="94"/>
        <v>4291</v>
      </c>
      <c r="R537" s="6"/>
      <c r="S537" s="7">
        <f>54159+26844+8358</f>
        <v>89361</v>
      </c>
      <c r="T537" s="6"/>
      <c r="U537" s="243">
        <f t="shared" si="92"/>
        <v>2.402125115017657E-2</v>
      </c>
      <c r="W537">
        <f t="shared" si="88"/>
        <v>527</v>
      </c>
      <c r="Y537" s="56"/>
    </row>
    <row r="538" spans="3:25" x14ac:dyDescent="0.3">
      <c r="C538" s="157">
        <f t="shared" si="93"/>
        <v>44437</v>
      </c>
      <c r="E538" s="241">
        <v>2269038</v>
      </c>
      <c r="F538" s="7"/>
      <c r="G538" s="7">
        <v>1088330</v>
      </c>
      <c r="H538" s="7"/>
      <c r="I538" s="7">
        <v>370708</v>
      </c>
      <c r="J538" s="244"/>
      <c r="K538" s="7">
        <f t="shared" si="95"/>
        <v>3728076</v>
      </c>
      <c r="L538" s="6"/>
      <c r="M538" s="438">
        <f t="shared" si="96"/>
        <v>2.1491467524497451E-3</v>
      </c>
      <c r="N538" s="29"/>
      <c r="O538" s="29"/>
      <c r="P538" s="29"/>
      <c r="Q538" s="332">
        <f t="shared" si="94"/>
        <v>7995</v>
      </c>
      <c r="R538" s="6"/>
      <c r="S538" s="7">
        <f>54199+26849+8358</f>
        <v>89406</v>
      </c>
      <c r="T538" s="6"/>
      <c r="U538" s="243">
        <v>2.402125115017657E-2</v>
      </c>
      <c r="W538">
        <f t="shared" si="88"/>
        <v>528</v>
      </c>
      <c r="Y538" s="56"/>
    </row>
    <row r="539" spans="3:25" x14ac:dyDescent="0.3">
      <c r="C539" s="157">
        <f t="shared" si="93"/>
        <v>44438</v>
      </c>
      <c r="E539" s="241">
        <v>2274680</v>
      </c>
      <c r="F539" s="7"/>
      <c r="G539" s="7">
        <v>1089838</v>
      </c>
      <c r="H539" s="7"/>
      <c r="I539" s="7">
        <v>372069</v>
      </c>
      <c r="J539" s="244"/>
      <c r="K539" s="7">
        <f t="shared" si="95"/>
        <v>3736587</v>
      </c>
      <c r="L539" s="6"/>
      <c r="M539" s="438">
        <f t="shared" si="96"/>
        <v>2.2829470214663005E-3</v>
      </c>
      <c r="N539" s="29"/>
      <c r="O539" s="29"/>
      <c r="P539" s="29"/>
      <c r="Q539" s="332">
        <f t="shared" si="94"/>
        <v>8511</v>
      </c>
      <c r="R539" s="6"/>
      <c r="S539" s="7">
        <f>54230+26864+8358</f>
        <v>89452</v>
      </c>
      <c r="T539" s="6"/>
      <c r="U539" s="243">
        <v>2.402125115017657E-2</v>
      </c>
      <c r="W539">
        <f t="shared" si="88"/>
        <v>529</v>
      </c>
      <c r="Y539" s="56"/>
    </row>
    <row r="540" spans="3:25" x14ac:dyDescent="0.3">
      <c r="C540" s="157">
        <f t="shared" si="93"/>
        <v>44439</v>
      </c>
      <c r="E540" s="241">
        <v>2278590</v>
      </c>
      <c r="F540" s="7"/>
      <c r="G540" s="7">
        <v>1091966</v>
      </c>
      <c r="H540" s="7"/>
      <c r="I540" s="7">
        <v>373072</v>
      </c>
      <c r="J540" s="244"/>
      <c r="K540" s="7">
        <f t="shared" si="95"/>
        <v>3743628</v>
      </c>
      <c r="L540" s="6"/>
      <c r="M540" s="438">
        <f t="shared" si="96"/>
        <v>1.8843399069792834E-3</v>
      </c>
      <c r="N540" s="29"/>
      <c r="O540" s="29"/>
      <c r="P540" s="29"/>
      <c r="Q540" s="332">
        <f t="shared" si="94"/>
        <v>7041</v>
      </c>
      <c r="R540" s="6"/>
      <c r="S540" s="7">
        <f>54264+26882+8358</f>
        <v>89504</v>
      </c>
      <c r="T540" s="6"/>
      <c r="U540" s="243">
        <v>2.402125115017657E-2</v>
      </c>
      <c r="W540">
        <f t="shared" si="88"/>
        <v>530</v>
      </c>
      <c r="Y540" s="56"/>
    </row>
    <row r="541" spans="3:25" x14ac:dyDescent="0.3">
      <c r="C541" s="157">
        <f t="shared" si="93"/>
        <v>44440</v>
      </c>
      <c r="E541" s="241">
        <v>2282836</v>
      </c>
      <c r="F541" s="7"/>
      <c r="G541" s="7">
        <v>1094249</v>
      </c>
      <c r="H541" s="7"/>
      <c r="I541" s="7">
        <v>373784</v>
      </c>
      <c r="J541" s="244"/>
      <c r="K541" s="7">
        <f t="shared" si="95"/>
        <v>3750869</v>
      </c>
      <c r="L541" s="6"/>
      <c r="M541" s="438">
        <f t="shared" si="96"/>
        <v>1.9342199598891771E-3</v>
      </c>
      <c r="N541" s="29"/>
      <c r="O541" s="29"/>
      <c r="P541" s="29"/>
      <c r="Q541" s="332">
        <f t="shared" si="94"/>
        <v>7241</v>
      </c>
      <c r="R541" s="6"/>
      <c r="S541" s="7">
        <f>54282+26902+8358</f>
        <v>89542</v>
      </c>
      <c r="T541" s="6"/>
      <c r="U541" s="243">
        <v>2.402125115017657E-2</v>
      </c>
      <c r="W541">
        <f t="shared" ref="W541:W795" si="97">+W540+1</f>
        <v>531</v>
      </c>
      <c r="Y541" s="56"/>
    </row>
    <row r="542" spans="3:25" x14ac:dyDescent="0.3">
      <c r="C542" s="157">
        <f t="shared" si="93"/>
        <v>44441</v>
      </c>
      <c r="E542" s="241">
        <v>2288001</v>
      </c>
      <c r="F542" s="7"/>
      <c r="G542" s="7">
        <v>1096791</v>
      </c>
      <c r="H542" s="7"/>
      <c r="I542" s="7">
        <v>374470</v>
      </c>
      <c r="J542" s="244"/>
      <c r="K542" s="7">
        <f t="shared" si="95"/>
        <v>3759262</v>
      </c>
      <c r="L542" s="6"/>
      <c r="M542" s="438">
        <f t="shared" si="96"/>
        <v>2.2376148033962265E-3</v>
      </c>
      <c r="N542" s="29"/>
      <c r="O542" s="29"/>
      <c r="P542" s="29"/>
      <c r="Q542" s="332">
        <f t="shared" si="94"/>
        <v>8393</v>
      </c>
      <c r="R542" s="6"/>
      <c r="S542" s="7">
        <f>54333+26939+8394</f>
        <v>89666</v>
      </c>
      <c r="T542" s="6"/>
      <c r="U542" s="243">
        <v>2.402125115017657E-2</v>
      </c>
      <c r="W542">
        <f t="shared" si="97"/>
        <v>532</v>
      </c>
      <c r="Y542" s="56"/>
    </row>
    <row r="543" spans="3:25" x14ac:dyDescent="0.3">
      <c r="C543" s="157">
        <f t="shared" si="93"/>
        <v>44442</v>
      </c>
      <c r="E543" s="241">
        <v>2293966</v>
      </c>
      <c r="F543" s="7"/>
      <c r="G543" s="7">
        <v>1098626</v>
      </c>
      <c r="H543" s="7"/>
      <c r="I543" s="7">
        <v>375135</v>
      </c>
      <c r="J543" s="244"/>
      <c r="K543" s="7">
        <f t="shared" si="95"/>
        <v>3767727</v>
      </c>
      <c r="L543" s="6"/>
      <c r="M543" s="438">
        <f t="shared" si="96"/>
        <v>2.2517717573289652E-3</v>
      </c>
      <c r="N543" s="29"/>
      <c r="O543" s="29"/>
      <c r="P543" s="29"/>
      <c r="Q543" s="332">
        <f t="shared" ref="Q543:Q552" si="98">+K543-K542</f>
        <v>8465</v>
      </c>
      <c r="R543" s="6"/>
      <c r="S543" s="7">
        <f>54361+26929+8394</f>
        <v>89684</v>
      </c>
      <c r="T543" s="6"/>
      <c r="U543" s="243">
        <v>2.402125115017657E-2</v>
      </c>
      <c r="W543">
        <f t="shared" si="97"/>
        <v>533</v>
      </c>
      <c r="Y543" s="56"/>
    </row>
    <row r="544" spans="3:25" x14ac:dyDescent="0.3">
      <c r="C544" s="157">
        <f t="shared" si="93"/>
        <v>44443</v>
      </c>
      <c r="E544" s="241">
        <v>2297542</v>
      </c>
      <c r="F544" s="7"/>
      <c r="G544" s="7">
        <v>1100774</v>
      </c>
      <c r="H544" s="7"/>
      <c r="I544" s="7">
        <v>375135</v>
      </c>
      <c r="J544" s="244"/>
      <c r="K544" s="7">
        <f t="shared" si="95"/>
        <v>3773451</v>
      </c>
      <c r="L544" s="6"/>
      <c r="M544" s="438">
        <f t="shared" si="96"/>
        <v>1.5192183510111003E-3</v>
      </c>
      <c r="N544" s="29"/>
      <c r="O544" s="29"/>
      <c r="P544" s="29"/>
      <c r="Q544" s="332">
        <f t="shared" si="98"/>
        <v>5724</v>
      </c>
      <c r="R544" s="6"/>
      <c r="S544" s="7">
        <f>54361+26929+8394</f>
        <v>89684</v>
      </c>
      <c r="T544" s="6"/>
      <c r="U544" s="243">
        <v>2.402125115017657E-2</v>
      </c>
      <c r="W544">
        <f t="shared" si="97"/>
        <v>534</v>
      </c>
      <c r="Y544" s="56"/>
    </row>
    <row r="545" spans="3:25" x14ac:dyDescent="0.3">
      <c r="C545" s="157">
        <f t="shared" si="93"/>
        <v>44444</v>
      </c>
      <c r="E545" s="241">
        <v>2303739</v>
      </c>
      <c r="F545" s="7"/>
      <c r="G545" s="7">
        <v>1102488</v>
      </c>
      <c r="H545" s="7"/>
      <c r="I545" s="7">
        <v>375135</v>
      </c>
      <c r="J545" s="244"/>
      <c r="K545" s="7">
        <f t="shared" si="95"/>
        <v>3781362</v>
      </c>
      <c r="L545" s="6"/>
      <c r="M545" s="438">
        <f t="shared" si="96"/>
        <v>2.0964893939261434E-3</v>
      </c>
      <c r="N545" s="29"/>
      <c r="O545" s="29"/>
      <c r="P545" s="29"/>
      <c r="Q545" s="332">
        <f t="shared" si="98"/>
        <v>7911</v>
      </c>
      <c r="R545" s="6"/>
      <c r="S545" s="7">
        <f>54420+26948+8394</f>
        <v>89762</v>
      </c>
      <c r="T545" s="6"/>
      <c r="U545" s="243">
        <v>2.402125115017657E-2</v>
      </c>
      <c r="W545">
        <f t="shared" si="97"/>
        <v>535</v>
      </c>
      <c r="Y545" s="56"/>
    </row>
    <row r="546" spans="3:25" x14ac:dyDescent="0.3">
      <c r="C546" s="157">
        <f t="shared" si="93"/>
        <v>44445</v>
      </c>
      <c r="E546" s="241">
        <v>2307414</v>
      </c>
      <c r="F546" s="7"/>
      <c r="G546" s="7">
        <v>1104139</v>
      </c>
      <c r="H546" s="7"/>
      <c r="I546" s="7">
        <v>375135</v>
      </c>
      <c r="J546" s="244"/>
      <c r="K546" s="7">
        <f t="shared" si="95"/>
        <v>3786688</v>
      </c>
      <c r="L546" s="6"/>
      <c r="M546" s="438">
        <f t="shared" si="96"/>
        <v>1.4084872064615871E-3</v>
      </c>
      <c r="N546" s="29"/>
      <c r="O546" s="29"/>
      <c r="P546" s="29"/>
      <c r="Q546" s="332">
        <f t="shared" si="98"/>
        <v>5326</v>
      </c>
      <c r="R546" s="6"/>
      <c r="S546" s="7">
        <f>54449+26952+8394</f>
        <v>89795</v>
      </c>
      <c r="T546" s="6"/>
      <c r="U546" s="243">
        <v>2.402125115017657E-2</v>
      </c>
      <c r="W546">
        <f t="shared" si="97"/>
        <v>536</v>
      </c>
      <c r="Y546" s="56"/>
    </row>
    <row r="547" spans="3:25" x14ac:dyDescent="0.3">
      <c r="C547" s="157">
        <f t="shared" si="93"/>
        <v>44446</v>
      </c>
      <c r="E547" s="241">
        <v>2310000</v>
      </c>
      <c r="F547" s="7"/>
      <c r="G547" s="7">
        <v>1106000</v>
      </c>
      <c r="H547" s="7"/>
      <c r="I547" s="7">
        <v>377682</v>
      </c>
      <c r="J547" s="579" t="s">
        <v>26</v>
      </c>
      <c r="K547" s="7">
        <f t="shared" si="95"/>
        <v>3793682</v>
      </c>
      <c r="L547" s="6"/>
      <c r="M547" s="438">
        <f t="shared" si="96"/>
        <v>1.8469966366386668E-3</v>
      </c>
      <c r="N547" s="29"/>
      <c r="O547" s="29"/>
      <c r="P547" s="29"/>
      <c r="Q547" s="332">
        <f t="shared" si="98"/>
        <v>6994</v>
      </c>
      <c r="R547" s="6"/>
      <c r="S547" s="7">
        <f>54500+27007+8415</f>
        <v>89922</v>
      </c>
      <c r="T547" s="6"/>
      <c r="U547" s="243">
        <v>2.402125115017657E-2</v>
      </c>
      <c r="W547">
        <f t="shared" si="97"/>
        <v>537</v>
      </c>
      <c r="Y547" s="56"/>
    </row>
    <row r="548" spans="3:25" x14ac:dyDescent="0.3">
      <c r="C548" s="157">
        <f t="shared" si="93"/>
        <v>44447</v>
      </c>
      <c r="E548" s="241">
        <v>2313361</v>
      </c>
      <c r="F548" s="7"/>
      <c r="G548" s="7">
        <v>1108291</v>
      </c>
      <c r="H548" s="7"/>
      <c r="I548" s="7">
        <v>377682</v>
      </c>
      <c r="J548" s="244"/>
      <c r="K548" s="7">
        <f t="shared" si="95"/>
        <v>3799334</v>
      </c>
      <c r="L548" s="6"/>
      <c r="M548" s="438">
        <f t="shared" si="96"/>
        <v>1.489845485204084E-3</v>
      </c>
      <c r="N548" s="29"/>
      <c r="O548" s="29"/>
      <c r="P548" s="29"/>
      <c r="Q548" s="332">
        <f t="shared" si="98"/>
        <v>5652</v>
      </c>
      <c r="R548" s="6"/>
      <c r="S548" s="7">
        <f>54500+27007+8415</f>
        <v>89922</v>
      </c>
      <c r="T548" s="6"/>
      <c r="U548" s="243">
        <v>2.402125115017657E-2</v>
      </c>
      <c r="W548">
        <f t="shared" si="97"/>
        <v>538</v>
      </c>
      <c r="Y548" s="56"/>
    </row>
    <row r="549" spans="3:25" x14ac:dyDescent="0.3">
      <c r="C549" s="157">
        <f t="shared" si="93"/>
        <v>44448</v>
      </c>
      <c r="E549" s="241">
        <v>2319680</v>
      </c>
      <c r="F549" s="7"/>
      <c r="G549" s="7">
        <v>1110501</v>
      </c>
      <c r="H549" s="7"/>
      <c r="I549" s="7">
        <v>378308</v>
      </c>
      <c r="J549" s="244"/>
      <c r="K549" s="7">
        <f t="shared" si="95"/>
        <v>3808489</v>
      </c>
      <c r="L549" s="6"/>
      <c r="M549" s="438">
        <f t="shared" si="96"/>
        <v>2.4096328461777777E-3</v>
      </c>
      <c r="N549" s="29"/>
      <c r="O549" s="29"/>
      <c r="P549" s="29"/>
      <c r="Q549" s="332">
        <f t="shared" si="98"/>
        <v>9155</v>
      </c>
      <c r="R549" s="6"/>
      <c r="S549" s="7">
        <f>54569+27024+8416</f>
        <v>90009</v>
      </c>
      <c r="T549" s="6"/>
      <c r="U549" s="243">
        <v>2.402125115017657E-2</v>
      </c>
      <c r="W549">
        <f t="shared" si="97"/>
        <v>539</v>
      </c>
      <c r="Y549" s="56"/>
    </row>
    <row r="550" spans="3:25" x14ac:dyDescent="0.3">
      <c r="C550" s="157">
        <f t="shared" si="93"/>
        <v>44449</v>
      </c>
      <c r="E550" s="241">
        <v>2325332</v>
      </c>
      <c r="F550" s="7"/>
      <c r="G550" s="7">
        <v>1113165</v>
      </c>
      <c r="H550" s="7"/>
      <c r="I550" s="7">
        <v>378933</v>
      </c>
      <c r="J550" s="244"/>
      <c r="K550" s="7">
        <f t="shared" si="95"/>
        <v>3817430</v>
      </c>
      <c r="L550" s="6"/>
      <c r="M550" s="438">
        <f t="shared" si="96"/>
        <v>2.3476502098338735E-3</v>
      </c>
      <c r="N550" s="29"/>
      <c r="O550" s="29"/>
      <c r="P550" s="29"/>
      <c r="Q550" s="332">
        <f t="shared" si="98"/>
        <v>8941</v>
      </c>
      <c r="R550" s="6"/>
      <c r="S550" s="7">
        <f>54602+27039+8424</f>
        <v>90065</v>
      </c>
      <c r="T550" s="6"/>
      <c r="U550" s="243">
        <v>2.402125115017657E-2</v>
      </c>
      <c r="W550">
        <f t="shared" si="97"/>
        <v>540</v>
      </c>
      <c r="Y550" s="56"/>
    </row>
    <row r="551" spans="3:25" x14ac:dyDescent="0.3">
      <c r="C551" s="157">
        <f t="shared" si="93"/>
        <v>44450</v>
      </c>
      <c r="E551" s="241">
        <v>2331615</v>
      </c>
      <c r="F551" s="7"/>
      <c r="G551" s="7">
        <v>1115659</v>
      </c>
      <c r="H551" s="7"/>
      <c r="I551" s="7">
        <v>378933</v>
      </c>
      <c r="J551" s="244"/>
      <c r="K551" s="7">
        <f t="shared" si="95"/>
        <v>3826207</v>
      </c>
      <c r="L551" s="6"/>
      <c r="M551" s="438">
        <f t="shared" si="96"/>
        <v>2.2991908168584624E-3</v>
      </c>
      <c r="N551" s="29"/>
      <c r="O551" s="29"/>
      <c r="P551" s="29"/>
      <c r="Q551" s="332">
        <f t="shared" si="98"/>
        <v>8777</v>
      </c>
      <c r="R551" s="6"/>
      <c r="S551" s="7">
        <f>54636+27054+8424</f>
        <v>90114</v>
      </c>
      <c r="T551" s="6"/>
      <c r="U551" s="243">
        <v>2.402125115017657E-2</v>
      </c>
      <c r="W551">
        <f t="shared" si="97"/>
        <v>541</v>
      </c>
      <c r="Y551" s="56"/>
    </row>
    <row r="552" spans="3:25" x14ac:dyDescent="0.3">
      <c r="C552" s="157">
        <f t="shared" si="93"/>
        <v>44451</v>
      </c>
      <c r="E552" s="241">
        <v>2335720</v>
      </c>
      <c r="F552" s="7"/>
      <c r="G552" s="7">
        <v>1117506</v>
      </c>
      <c r="H552" s="7"/>
      <c r="I552" s="7">
        <v>378933</v>
      </c>
      <c r="J552" s="244"/>
      <c r="K552" s="7">
        <f t="shared" si="95"/>
        <v>3832159</v>
      </c>
      <c r="L552" s="6"/>
      <c r="M552" s="438">
        <f t="shared" si="96"/>
        <v>1.5555875570767604E-3</v>
      </c>
      <c r="N552" s="29"/>
      <c r="O552" s="29"/>
      <c r="P552" s="29"/>
      <c r="Q552" s="332">
        <f t="shared" si="98"/>
        <v>5952</v>
      </c>
      <c r="R552" s="6"/>
      <c r="S552" s="7">
        <f>54656+27058+8424</f>
        <v>90138</v>
      </c>
      <c r="T552" s="6"/>
      <c r="U552" s="243">
        <v>2.402125115017657E-2</v>
      </c>
      <c r="W552">
        <f t="shared" si="97"/>
        <v>542</v>
      </c>
      <c r="Y552" s="56"/>
    </row>
    <row r="553" spans="3:25" x14ac:dyDescent="0.3">
      <c r="C553" s="157">
        <f t="shared" si="93"/>
        <v>44452</v>
      </c>
      <c r="E553" s="241">
        <v>2340950</v>
      </c>
      <c r="F553" s="7"/>
      <c r="G553" s="7">
        <v>1119051</v>
      </c>
      <c r="H553" s="7"/>
      <c r="I553" s="7">
        <v>380281</v>
      </c>
      <c r="J553" s="244"/>
      <c r="K553" s="7">
        <f t="shared" ref="K553:K584" si="99">SUM(E553:I553)</f>
        <v>3840282</v>
      </c>
      <c r="L553" s="6"/>
      <c r="M553" s="438">
        <f t="shared" ref="M553:M584" si="100">+(K553-K552)/K552</f>
        <v>2.1196928415548521E-3</v>
      </c>
      <c r="N553" s="29"/>
      <c r="O553" s="29"/>
      <c r="P553" s="29"/>
      <c r="Q553" s="332">
        <f t="shared" ref="Q553:Q584" si="101">+K553-K552</f>
        <v>8123</v>
      </c>
      <c r="R553" s="6"/>
      <c r="S553" s="7">
        <f>54672+27079+8424</f>
        <v>90175</v>
      </c>
      <c r="T553" s="6"/>
      <c r="U553" s="243">
        <v>2.402125115017657E-2</v>
      </c>
      <c r="W553">
        <f t="shared" si="97"/>
        <v>543</v>
      </c>
      <c r="Y553" s="56"/>
    </row>
    <row r="554" spans="3:25" x14ac:dyDescent="0.3">
      <c r="C554" s="157">
        <f t="shared" si="93"/>
        <v>44453</v>
      </c>
      <c r="E554" s="241">
        <v>2345068</v>
      </c>
      <c r="F554" s="7"/>
      <c r="G554" s="7">
        <v>1121089</v>
      </c>
      <c r="H554" s="7"/>
      <c r="I554" s="7">
        <v>381331</v>
      </c>
      <c r="J554" s="244"/>
      <c r="K554" s="7">
        <f t="shared" si="99"/>
        <v>3847488</v>
      </c>
      <c r="L554" s="6"/>
      <c r="M554" s="438">
        <f t="shared" si="100"/>
        <v>1.8764247000610892E-3</v>
      </c>
      <c r="N554" s="29"/>
      <c r="O554" s="29"/>
      <c r="P554" s="29"/>
      <c r="Q554" s="332">
        <f t="shared" si="101"/>
        <v>7206</v>
      </c>
      <c r="R554" s="6"/>
      <c r="S554" s="7">
        <f>54693+27101+8446</f>
        <v>90240</v>
      </c>
      <c r="T554" s="6"/>
      <c r="U554" s="243">
        <v>2.402125115017657E-2</v>
      </c>
      <c r="W554">
        <f t="shared" si="97"/>
        <v>544</v>
      </c>
      <c r="Y554" s="56"/>
    </row>
    <row r="555" spans="3:25" x14ac:dyDescent="0.3">
      <c r="C555" s="157">
        <f t="shared" si="93"/>
        <v>44454</v>
      </c>
      <c r="E555" s="241">
        <v>2349898</v>
      </c>
      <c r="F555" s="7"/>
      <c r="G555" s="7">
        <v>1123364</v>
      </c>
      <c r="H555" s="7"/>
      <c r="I555" s="7">
        <v>381732</v>
      </c>
      <c r="J555" s="244"/>
      <c r="K555" s="7">
        <f t="shared" si="99"/>
        <v>3854994</v>
      </c>
      <c r="L555" s="6"/>
      <c r="M555" s="438">
        <f t="shared" si="100"/>
        <v>1.9508832776086631E-3</v>
      </c>
      <c r="N555" s="29"/>
      <c r="O555" s="29"/>
      <c r="P555" s="29"/>
      <c r="Q555" s="332">
        <f t="shared" si="101"/>
        <v>7506</v>
      </c>
      <c r="R555" s="6"/>
      <c r="S555" s="7">
        <f>54717+27122+8447</f>
        <v>90286</v>
      </c>
      <c r="T555" s="6"/>
      <c r="U555" s="243">
        <v>2.402125115017657E-2</v>
      </c>
      <c r="W555">
        <f t="shared" si="97"/>
        <v>545</v>
      </c>
      <c r="Y555" s="56"/>
    </row>
    <row r="556" spans="3:25" x14ac:dyDescent="0.3">
      <c r="C556" s="157">
        <f t="shared" si="93"/>
        <v>44455</v>
      </c>
      <c r="E556" s="241">
        <v>2356680</v>
      </c>
      <c r="F556" s="7"/>
      <c r="G556" s="7">
        <v>1126322</v>
      </c>
      <c r="H556" s="7"/>
      <c r="I556" s="7">
        <v>382798</v>
      </c>
      <c r="J556" s="244"/>
      <c r="K556" s="7">
        <f t="shared" si="99"/>
        <v>3865800</v>
      </c>
      <c r="L556" s="6"/>
      <c r="M556" s="438">
        <f t="shared" si="100"/>
        <v>2.8031172032952582E-3</v>
      </c>
      <c r="N556" s="29"/>
      <c r="O556" s="29"/>
      <c r="P556" s="29"/>
      <c r="Q556" s="332">
        <f t="shared" si="101"/>
        <v>10806</v>
      </c>
      <c r="R556" s="6"/>
      <c r="S556" s="7">
        <f>54741+27148+8447</f>
        <v>90336</v>
      </c>
      <c r="T556" s="6"/>
      <c r="U556" s="243">
        <v>2.402125115017657E-2</v>
      </c>
      <c r="W556">
        <f t="shared" si="97"/>
        <v>546</v>
      </c>
      <c r="Y556" s="56"/>
    </row>
    <row r="557" spans="3:25" x14ac:dyDescent="0.3">
      <c r="C557" s="157">
        <f t="shared" si="93"/>
        <v>44456</v>
      </c>
      <c r="E557" s="241">
        <v>2362682</v>
      </c>
      <c r="F557" s="7"/>
      <c r="G557" s="7">
        <v>1128696</v>
      </c>
      <c r="H557" s="7"/>
      <c r="I557" s="7">
        <v>384342</v>
      </c>
      <c r="J557" s="244"/>
      <c r="K557" s="7">
        <f t="shared" si="99"/>
        <v>3875720</v>
      </c>
      <c r="L557" s="6"/>
      <c r="M557" s="438">
        <f t="shared" si="100"/>
        <v>2.5660924000206944E-3</v>
      </c>
      <c r="N557" s="29"/>
      <c r="O557" s="29"/>
      <c r="P557" s="29"/>
      <c r="Q557" s="332">
        <f t="shared" si="101"/>
        <v>9920</v>
      </c>
      <c r="R557" s="6"/>
      <c r="S557" s="7">
        <f>54846+27165+8463</f>
        <v>90474</v>
      </c>
      <c r="T557" s="6"/>
      <c r="U557" s="243">
        <v>2.402125115017657E-2</v>
      </c>
      <c r="W557">
        <f t="shared" si="97"/>
        <v>547</v>
      </c>
      <c r="Y557" s="56"/>
    </row>
    <row r="558" spans="3:25" x14ac:dyDescent="0.3">
      <c r="C558" s="157">
        <f t="shared" si="93"/>
        <v>44457</v>
      </c>
      <c r="E558" s="241">
        <v>2368441</v>
      </c>
      <c r="F558" s="7"/>
      <c r="G558" s="7">
        <v>1131319</v>
      </c>
      <c r="H558" s="7"/>
      <c r="I558" s="7">
        <v>384342</v>
      </c>
      <c r="J558" s="244"/>
      <c r="K558" s="7">
        <f t="shared" si="99"/>
        <v>3884102</v>
      </c>
      <c r="L558" s="6"/>
      <c r="M558" s="438">
        <f t="shared" si="100"/>
        <v>2.162694931522401E-3</v>
      </c>
      <c r="N558" s="29"/>
      <c r="O558" s="29"/>
      <c r="P558" s="29"/>
      <c r="Q558" s="332">
        <f t="shared" si="101"/>
        <v>8382</v>
      </c>
      <c r="R558" s="6"/>
      <c r="S558" s="7">
        <f>54865+27182+8463</f>
        <v>90510</v>
      </c>
      <c r="T558" s="6"/>
      <c r="U558" s="243">
        <v>2.402125115017657E-2</v>
      </c>
      <c r="W558">
        <f t="shared" si="97"/>
        <v>548</v>
      </c>
      <c r="Y558" s="56"/>
    </row>
    <row r="559" spans="3:25" x14ac:dyDescent="0.3">
      <c r="C559" s="157">
        <f t="shared" si="93"/>
        <v>44458</v>
      </c>
      <c r="E559" s="241">
        <v>2373659</v>
      </c>
      <c r="F559" s="7"/>
      <c r="G559" s="7">
        <v>1133228</v>
      </c>
      <c r="H559" s="7"/>
      <c r="I559" s="7">
        <v>384342</v>
      </c>
      <c r="J559" s="244"/>
      <c r="K559" s="7">
        <f t="shared" si="99"/>
        <v>3891229</v>
      </c>
      <c r="L559" s="6"/>
      <c r="M559" s="438">
        <f t="shared" si="100"/>
        <v>1.8349157668876874E-3</v>
      </c>
      <c r="N559" s="29"/>
      <c r="O559" s="29"/>
      <c r="P559" s="29"/>
      <c r="Q559" s="332">
        <f t="shared" si="101"/>
        <v>7127</v>
      </c>
      <c r="R559" s="6"/>
      <c r="S559" s="7">
        <f>54904+27190+8463</f>
        <v>90557</v>
      </c>
      <c r="T559" s="6"/>
      <c r="U559" s="243">
        <v>2.402125115017657E-2</v>
      </c>
      <c r="W559">
        <f t="shared" si="97"/>
        <v>549</v>
      </c>
      <c r="Y559" s="56"/>
    </row>
    <row r="560" spans="3:25" x14ac:dyDescent="0.3">
      <c r="C560" s="157">
        <f t="shared" si="93"/>
        <v>44459</v>
      </c>
      <c r="E560" s="241">
        <v>2377102</v>
      </c>
      <c r="F560" s="7"/>
      <c r="G560" s="7">
        <v>1134851</v>
      </c>
      <c r="H560" s="7"/>
      <c r="I560" s="7">
        <v>385788</v>
      </c>
      <c r="J560" s="244"/>
      <c r="K560" s="7">
        <f t="shared" si="99"/>
        <v>3897741</v>
      </c>
      <c r="L560" s="6"/>
      <c r="M560" s="438">
        <f t="shared" si="100"/>
        <v>1.673507264671393E-3</v>
      </c>
      <c r="N560" s="29"/>
      <c r="O560" s="29"/>
      <c r="P560" s="29"/>
      <c r="Q560" s="332">
        <f t="shared" si="101"/>
        <v>6512</v>
      </c>
      <c r="R560" s="6"/>
      <c r="S560" s="7">
        <f>54927+27202+8462</f>
        <v>90591</v>
      </c>
      <c r="T560" s="6"/>
      <c r="U560" s="243">
        <v>2.402125115017657E-2</v>
      </c>
      <c r="W560">
        <f t="shared" si="97"/>
        <v>550</v>
      </c>
      <c r="Y560" s="56"/>
    </row>
    <row r="561" spans="3:25" x14ac:dyDescent="0.3">
      <c r="C561" s="157">
        <f t="shared" si="93"/>
        <v>44460</v>
      </c>
      <c r="E561" s="241">
        <v>2382450</v>
      </c>
      <c r="F561" s="7"/>
      <c r="G561" s="7">
        <v>1137016</v>
      </c>
      <c r="H561" s="7"/>
      <c r="I561" s="7">
        <v>386182</v>
      </c>
      <c r="J561" s="244"/>
      <c r="K561" s="7">
        <f t="shared" si="99"/>
        <v>3905648</v>
      </c>
      <c r="L561" s="6"/>
      <c r="M561" s="438">
        <f t="shared" si="100"/>
        <v>2.0286109313061079E-3</v>
      </c>
      <c r="N561" s="29"/>
      <c r="O561" s="29"/>
      <c r="P561" s="29"/>
      <c r="Q561" s="332">
        <f t="shared" si="101"/>
        <v>7907</v>
      </c>
      <c r="R561" s="6"/>
      <c r="S561" s="7">
        <f>54983+27240+8477</f>
        <v>90700</v>
      </c>
      <c r="T561" s="6"/>
      <c r="U561" s="243">
        <v>2.402125115017657E-2</v>
      </c>
      <c r="W561">
        <f t="shared" si="97"/>
        <v>551</v>
      </c>
      <c r="Y561" s="56"/>
    </row>
    <row r="562" spans="3:25" x14ac:dyDescent="0.3">
      <c r="C562" s="157">
        <f t="shared" si="93"/>
        <v>44461</v>
      </c>
      <c r="E562" s="241">
        <v>2387008</v>
      </c>
      <c r="F562" s="7"/>
      <c r="G562" s="7">
        <v>1139367</v>
      </c>
      <c r="H562" s="7"/>
      <c r="I562" s="7">
        <v>386672</v>
      </c>
      <c r="J562" s="244"/>
      <c r="K562" s="7">
        <f t="shared" si="99"/>
        <v>3913047</v>
      </c>
      <c r="L562" s="6"/>
      <c r="M562" s="438">
        <f t="shared" si="100"/>
        <v>1.8944359553139454E-3</v>
      </c>
      <c r="N562" s="29"/>
      <c r="O562" s="29"/>
      <c r="P562" s="29"/>
      <c r="Q562" s="332">
        <f t="shared" si="101"/>
        <v>7399</v>
      </c>
      <c r="R562" s="6"/>
      <c r="S562" s="7">
        <f>55028+27264+8484</f>
        <v>90776</v>
      </c>
      <c r="T562" s="6"/>
      <c r="U562" s="243">
        <v>2.402125115017657E-2</v>
      </c>
      <c r="W562">
        <f t="shared" si="97"/>
        <v>552</v>
      </c>
      <c r="Y562" s="56"/>
    </row>
    <row r="563" spans="3:25" x14ac:dyDescent="0.3">
      <c r="C563" s="157">
        <f t="shared" si="93"/>
        <v>44462</v>
      </c>
      <c r="E563" s="241">
        <v>2392060</v>
      </c>
      <c r="F563" s="7"/>
      <c r="G563" s="7">
        <v>1141619</v>
      </c>
      <c r="H563" s="7"/>
      <c r="I563" s="7">
        <v>387263</v>
      </c>
      <c r="J563" s="244"/>
      <c r="K563" s="7">
        <f t="shared" si="99"/>
        <v>3920942</v>
      </c>
      <c r="L563" s="6"/>
      <c r="M563" s="438">
        <f t="shared" si="100"/>
        <v>2.0176092952627453E-3</v>
      </c>
      <c r="N563" s="29"/>
      <c r="O563" s="29"/>
      <c r="P563" s="29"/>
      <c r="Q563" s="332">
        <f t="shared" si="101"/>
        <v>7895</v>
      </c>
      <c r="R563" s="6"/>
      <c r="S563" s="7">
        <f>55066+27288+8483</f>
        <v>90837</v>
      </c>
      <c r="T563" s="6"/>
      <c r="U563" s="243">
        <v>2.402125115017657E-2</v>
      </c>
      <c r="W563">
        <f t="shared" si="97"/>
        <v>553</v>
      </c>
      <c r="Y563" s="56"/>
    </row>
    <row r="564" spans="3:25" x14ac:dyDescent="0.3">
      <c r="C564" s="157">
        <f t="shared" si="93"/>
        <v>44463</v>
      </c>
      <c r="E564" s="241">
        <v>2398152</v>
      </c>
      <c r="F564" s="7"/>
      <c r="G564" s="7">
        <v>1143855</v>
      </c>
      <c r="H564" s="7"/>
      <c r="I564" s="7">
        <v>387733</v>
      </c>
      <c r="J564" s="244"/>
      <c r="K564" s="7">
        <f t="shared" si="99"/>
        <v>3929740</v>
      </c>
      <c r="L564" s="6"/>
      <c r="M564" s="438">
        <f t="shared" si="100"/>
        <v>2.2438485445589349E-3</v>
      </c>
      <c r="N564" s="29"/>
      <c r="O564" s="29"/>
      <c r="P564" s="29"/>
      <c r="Q564" s="332">
        <f t="shared" si="101"/>
        <v>8798</v>
      </c>
      <c r="R564" s="6"/>
      <c r="S564" s="7">
        <f>55107+27307+8501</f>
        <v>90915</v>
      </c>
      <c r="T564" s="6"/>
      <c r="U564" s="243">
        <v>2.402125115017657E-2</v>
      </c>
      <c r="W564">
        <f t="shared" si="97"/>
        <v>554</v>
      </c>
      <c r="Y564" s="56"/>
    </row>
    <row r="565" spans="3:25" x14ac:dyDescent="0.3">
      <c r="C565" s="157">
        <f t="shared" si="93"/>
        <v>44464</v>
      </c>
      <c r="E565" s="241">
        <v>2402248</v>
      </c>
      <c r="F565" s="7"/>
      <c r="G565" s="7">
        <v>1146089</v>
      </c>
      <c r="H565" s="7"/>
      <c r="I565" s="7">
        <v>387733</v>
      </c>
      <c r="J565" s="244"/>
      <c r="K565" s="7">
        <f t="shared" si="99"/>
        <v>3936070</v>
      </c>
      <c r="L565" s="6"/>
      <c r="M565" s="438">
        <f t="shared" si="100"/>
        <v>1.6107935893977718E-3</v>
      </c>
      <c r="N565" s="29"/>
      <c r="O565" s="29"/>
      <c r="P565" s="29"/>
      <c r="Q565" s="332">
        <f t="shared" si="101"/>
        <v>6330</v>
      </c>
      <c r="R565" s="6"/>
      <c r="S565" s="7">
        <f>55131+27323+8501</f>
        <v>90955</v>
      </c>
      <c r="T565" s="6"/>
      <c r="U565" s="243">
        <v>2.402125115017657E-2</v>
      </c>
      <c r="W565">
        <f t="shared" si="97"/>
        <v>555</v>
      </c>
      <c r="Y565" s="56"/>
    </row>
    <row r="566" spans="3:25" x14ac:dyDescent="0.3">
      <c r="C566" s="157">
        <f t="shared" si="93"/>
        <v>44465</v>
      </c>
      <c r="E566" s="241">
        <v>2406000</v>
      </c>
      <c r="F566" s="7"/>
      <c r="G566" s="7">
        <v>1147500</v>
      </c>
      <c r="H566" s="7"/>
      <c r="I566" s="7">
        <v>387500</v>
      </c>
      <c r="J566" s="244"/>
      <c r="K566" s="7">
        <f t="shared" si="99"/>
        <v>3941000</v>
      </c>
      <c r="L566" s="6"/>
      <c r="M566" s="438">
        <f t="shared" si="100"/>
        <v>1.2525183749272752E-3</v>
      </c>
      <c r="N566" s="29"/>
      <c r="O566" s="29"/>
      <c r="P566" s="29"/>
      <c r="Q566" s="332">
        <f t="shared" si="101"/>
        <v>4930</v>
      </c>
      <c r="R566" s="6"/>
      <c r="S566" s="7">
        <f>55131+27323+8501</f>
        <v>90955</v>
      </c>
      <c r="T566" s="6"/>
      <c r="U566" s="243">
        <v>2.402125115017657E-2</v>
      </c>
      <c r="W566">
        <f t="shared" si="97"/>
        <v>556</v>
      </c>
      <c r="Y566" s="56"/>
    </row>
    <row r="567" spans="3:25" x14ac:dyDescent="0.3">
      <c r="C567" s="157">
        <f t="shared" si="93"/>
        <v>44466</v>
      </c>
      <c r="E567" s="241">
        <v>2411626</v>
      </c>
      <c r="F567" s="7"/>
      <c r="G567" s="7">
        <v>1148358</v>
      </c>
      <c r="H567" s="584" t="s">
        <v>26</v>
      </c>
      <c r="I567" s="7">
        <v>389177</v>
      </c>
      <c r="J567" s="244"/>
      <c r="K567" s="7">
        <f t="shared" si="99"/>
        <v>3949161</v>
      </c>
      <c r="L567" s="6"/>
      <c r="M567" s="438">
        <f t="shared" si="100"/>
        <v>2.0707942146663285E-3</v>
      </c>
      <c r="N567" s="29"/>
      <c r="O567" s="29"/>
      <c r="P567" s="29"/>
      <c r="Q567" s="332">
        <f t="shared" si="101"/>
        <v>8161</v>
      </c>
      <c r="R567" s="6"/>
      <c r="S567" s="7">
        <f>55204+27346+8593</f>
        <v>91143</v>
      </c>
      <c r="T567" s="6"/>
      <c r="U567" s="243">
        <v>2.402125115017657E-2</v>
      </c>
      <c r="W567">
        <f t="shared" si="97"/>
        <v>557</v>
      </c>
      <c r="Y567" s="56"/>
    </row>
    <row r="568" spans="3:25" x14ac:dyDescent="0.3">
      <c r="C568" s="157">
        <f t="shared" si="93"/>
        <v>44467</v>
      </c>
      <c r="E568" s="241">
        <v>2416683</v>
      </c>
      <c r="F568" s="7"/>
      <c r="G568" s="7">
        <v>1148358</v>
      </c>
      <c r="H568" s="7"/>
      <c r="I568" s="7">
        <v>389177</v>
      </c>
      <c r="J568" s="244"/>
      <c r="K568" s="7">
        <f t="shared" si="99"/>
        <v>3954218</v>
      </c>
      <c r="L568" s="6"/>
      <c r="M568" s="438">
        <f t="shared" si="100"/>
        <v>1.2805251545834671E-3</v>
      </c>
      <c r="N568" s="29"/>
      <c r="O568" s="29"/>
      <c r="P568" s="29"/>
      <c r="Q568" s="332">
        <f t="shared" si="101"/>
        <v>5057</v>
      </c>
      <c r="R568" s="6"/>
      <c r="S568" s="7">
        <f>55204+27346+8593</f>
        <v>91143</v>
      </c>
      <c r="T568" s="6"/>
      <c r="U568" s="243">
        <v>2.402125115017657E-2</v>
      </c>
      <c r="W568">
        <f t="shared" si="97"/>
        <v>558</v>
      </c>
      <c r="Y568" s="56"/>
    </row>
    <row r="569" spans="3:25" x14ac:dyDescent="0.3">
      <c r="C569" s="157">
        <f t="shared" si="93"/>
        <v>44468</v>
      </c>
      <c r="E569" s="241">
        <v>2421755</v>
      </c>
      <c r="F569" s="7"/>
      <c r="G569" s="7">
        <v>1152243</v>
      </c>
      <c r="H569" s="7"/>
      <c r="I569" s="7">
        <v>390180</v>
      </c>
      <c r="J569" s="244"/>
      <c r="K569" s="7">
        <f t="shared" si="99"/>
        <v>3964178</v>
      </c>
      <c r="L569" s="6"/>
      <c r="M569" s="438">
        <f t="shared" si="100"/>
        <v>2.5188292602987493E-3</v>
      </c>
      <c r="N569" s="29"/>
      <c r="O569" s="29"/>
      <c r="P569" s="29"/>
      <c r="Q569" s="332">
        <f t="shared" si="101"/>
        <v>9960</v>
      </c>
      <c r="R569" s="6"/>
      <c r="S569" s="7">
        <f>55310+27400+8629</f>
        <v>91339</v>
      </c>
      <c r="T569" s="6"/>
      <c r="U569" s="243">
        <v>2.402125115017657E-2</v>
      </c>
      <c r="W569">
        <f t="shared" si="97"/>
        <v>559</v>
      </c>
      <c r="Y569" s="56"/>
    </row>
    <row r="570" spans="3:25" x14ac:dyDescent="0.3">
      <c r="C570" s="157">
        <f t="shared" si="93"/>
        <v>44469</v>
      </c>
      <c r="E570" s="241">
        <v>2426683</v>
      </c>
      <c r="F570" s="7"/>
      <c r="G570" s="7">
        <v>1154570</v>
      </c>
      <c r="H570" s="7"/>
      <c r="I570" s="7">
        <v>390345</v>
      </c>
      <c r="J570" s="244"/>
      <c r="K570" s="7">
        <f t="shared" si="99"/>
        <v>3971598</v>
      </c>
      <c r="L570" s="6"/>
      <c r="M570" s="438">
        <f t="shared" si="100"/>
        <v>1.8717625696928846E-3</v>
      </c>
      <c r="N570" s="29"/>
      <c r="O570" s="29"/>
      <c r="P570" s="29"/>
      <c r="Q570" s="332">
        <f t="shared" si="101"/>
        <v>7420</v>
      </c>
      <c r="R570" s="6"/>
      <c r="S570" s="7">
        <f>55358+27427+8629</f>
        <v>91414</v>
      </c>
      <c r="T570" s="6"/>
      <c r="U570" s="243">
        <v>2.402125115017657E-2</v>
      </c>
      <c r="W570">
        <f t="shared" si="97"/>
        <v>560</v>
      </c>
      <c r="Y570" s="56"/>
    </row>
    <row r="571" spans="3:25" x14ac:dyDescent="0.3">
      <c r="C571" s="157">
        <f t="shared" si="93"/>
        <v>44470</v>
      </c>
      <c r="E571" s="241">
        <v>2432444</v>
      </c>
      <c r="F571" s="7"/>
      <c r="G571" s="7">
        <v>1156243</v>
      </c>
      <c r="H571" s="7"/>
      <c r="I571" s="7">
        <v>391066</v>
      </c>
      <c r="J571" s="244"/>
      <c r="K571" s="7">
        <f t="shared" si="99"/>
        <v>3979753</v>
      </c>
      <c r="L571" s="6"/>
      <c r="M571" s="438">
        <f t="shared" si="100"/>
        <v>2.0533296673026827E-3</v>
      </c>
      <c r="N571" s="29"/>
      <c r="O571" s="29"/>
      <c r="P571" s="29"/>
      <c r="Q571" s="332">
        <f t="shared" si="101"/>
        <v>8155</v>
      </c>
      <c r="R571" s="6"/>
      <c r="S571" s="7">
        <f>55416+27443+8650</f>
        <v>91509</v>
      </c>
      <c r="T571" s="6"/>
      <c r="U571" s="243">
        <v>2.402125115017657E-2</v>
      </c>
      <c r="W571">
        <f t="shared" si="97"/>
        <v>561</v>
      </c>
      <c r="Y571" s="56"/>
    </row>
    <row r="572" spans="3:25" x14ac:dyDescent="0.3">
      <c r="C572" s="157">
        <f t="shared" si="93"/>
        <v>44471</v>
      </c>
      <c r="E572" s="241">
        <v>2436048</v>
      </c>
      <c r="F572" s="7"/>
      <c r="G572" s="7">
        <v>1158178</v>
      </c>
      <c r="H572" s="7"/>
      <c r="I572" s="7">
        <v>391006</v>
      </c>
      <c r="J572" s="244"/>
      <c r="K572" s="7">
        <f t="shared" si="99"/>
        <v>3985232</v>
      </c>
      <c r="L572" s="6"/>
      <c r="M572" s="438">
        <f t="shared" si="100"/>
        <v>1.3767186054008879E-3</v>
      </c>
      <c r="N572" s="29"/>
      <c r="O572" s="29"/>
      <c r="P572" s="29"/>
      <c r="Q572" s="332">
        <f t="shared" si="101"/>
        <v>5479</v>
      </c>
      <c r="R572" s="6"/>
      <c r="S572" s="7">
        <f>55434+27465+8650</f>
        <v>91549</v>
      </c>
      <c r="T572" s="6"/>
      <c r="U572" s="243">
        <v>2.402125115017657E-2</v>
      </c>
      <c r="W572">
        <f t="shared" si="97"/>
        <v>562</v>
      </c>
      <c r="Y572" s="56"/>
    </row>
    <row r="573" spans="3:25" x14ac:dyDescent="0.3">
      <c r="C573" s="347">
        <f t="shared" si="93"/>
        <v>44472</v>
      </c>
      <c r="E573" s="241">
        <v>2439639</v>
      </c>
      <c r="F573" s="7"/>
      <c r="G573" s="7">
        <v>1159632</v>
      </c>
      <c r="H573" s="7"/>
      <c r="I573" s="7">
        <v>391066</v>
      </c>
      <c r="J573" s="244"/>
      <c r="K573" s="7">
        <f t="shared" si="99"/>
        <v>3990337</v>
      </c>
      <c r="L573" s="6"/>
      <c r="M573" s="438">
        <f t="shared" si="100"/>
        <v>1.2809793758556591E-3</v>
      </c>
      <c r="N573" s="29"/>
      <c r="O573" s="29"/>
      <c r="P573" s="29"/>
      <c r="Q573" s="332">
        <f t="shared" si="101"/>
        <v>5105</v>
      </c>
      <c r="R573" s="6"/>
      <c r="S573" s="7">
        <f>55457+27472+8650</f>
        <v>91579</v>
      </c>
      <c r="T573" s="6"/>
      <c r="U573" s="243">
        <v>2.402125115017657E-2</v>
      </c>
      <c r="W573">
        <f t="shared" si="97"/>
        <v>563</v>
      </c>
      <c r="Y573" s="56"/>
    </row>
    <row r="574" spans="3:25" x14ac:dyDescent="0.3">
      <c r="C574" s="158">
        <f t="shared" si="93"/>
        <v>44473</v>
      </c>
      <c r="E574" s="241">
        <v>2445371</v>
      </c>
      <c r="F574" s="7"/>
      <c r="G574" s="7">
        <v>1160878</v>
      </c>
      <c r="H574" s="7"/>
      <c r="I574" s="7">
        <v>392163</v>
      </c>
      <c r="J574" s="244"/>
      <c r="K574" s="7">
        <f t="shared" si="99"/>
        <v>3998412</v>
      </c>
      <c r="L574" s="6"/>
      <c r="M574" s="438">
        <f t="shared" si="100"/>
        <v>2.0236386049599319E-3</v>
      </c>
      <c r="N574" s="29"/>
      <c r="O574" s="29"/>
      <c r="P574" s="29"/>
      <c r="Q574" s="332">
        <f t="shared" si="101"/>
        <v>8075</v>
      </c>
      <c r="R574" s="6"/>
      <c r="S574" s="7">
        <f>55498+27488+8650</f>
        <v>91636</v>
      </c>
      <c r="T574" s="6"/>
      <c r="U574" s="243">
        <v>2.402125115017657E-2</v>
      </c>
      <c r="W574">
        <f t="shared" si="97"/>
        <v>564</v>
      </c>
      <c r="Y574" s="56"/>
    </row>
    <row r="575" spans="3:25" x14ac:dyDescent="0.3">
      <c r="C575" s="158">
        <f t="shared" si="93"/>
        <v>44474</v>
      </c>
      <c r="E575" s="241">
        <v>2449261</v>
      </c>
      <c r="F575" s="7"/>
      <c r="G575" s="7">
        <v>1162526</v>
      </c>
      <c r="H575" s="7"/>
      <c r="I575" s="7">
        <v>392574</v>
      </c>
      <c r="J575" s="244"/>
      <c r="K575" s="7">
        <f t="shared" si="99"/>
        <v>4004361</v>
      </c>
      <c r="L575" s="6"/>
      <c r="M575" s="438">
        <f t="shared" si="100"/>
        <v>1.4878406727470805E-3</v>
      </c>
      <c r="N575" s="29"/>
      <c r="O575" s="29"/>
      <c r="P575" s="29"/>
      <c r="Q575" s="332">
        <f t="shared" si="101"/>
        <v>5949</v>
      </c>
      <c r="R575" s="6"/>
      <c r="S575" s="7">
        <f>55531+27525+8666</f>
        <v>91722</v>
      </c>
      <c r="T575" s="6"/>
      <c r="U575" s="243">
        <v>2.402125115017657E-2</v>
      </c>
      <c r="W575">
        <f t="shared" si="97"/>
        <v>565</v>
      </c>
      <c r="Y575" s="56"/>
    </row>
    <row r="576" spans="3:25" x14ac:dyDescent="0.3">
      <c r="C576" s="158">
        <f t="shared" si="93"/>
        <v>44475</v>
      </c>
      <c r="E576" s="241">
        <v>2455444</v>
      </c>
      <c r="F576" s="7"/>
      <c r="G576" s="7">
        <v>1164378</v>
      </c>
      <c r="H576" s="7"/>
      <c r="I576" s="7">
        <v>392951</v>
      </c>
      <c r="J576" s="244"/>
      <c r="K576" s="7">
        <f t="shared" si="99"/>
        <v>4012773</v>
      </c>
      <c r="L576" s="6"/>
      <c r="M576" s="438">
        <f t="shared" si="100"/>
        <v>2.1007097012482141E-3</v>
      </c>
      <c r="N576" s="29"/>
      <c r="O576" s="29"/>
      <c r="P576" s="29"/>
      <c r="Q576" s="332">
        <f t="shared" si="101"/>
        <v>8412</v>
      </c>
      <c r="R576" s="6"/>
      <c r="S576" s="7">
        <f>55571+27542+8667</f>
        <v>91780</v>
      </c>
      <c r="T576" s="6"/>
      <c r="U576" s="243">
        <v>2.402125115017657E-2</v>
      </c>
      <c r="W576">
        <f t="shared" si="97"/>
        <v>566</v>
      </c>
      <c r="Y576" s="56"/>
    </row>
    <row r="577" spans="3:25" x14ac:dyDescent="0.3">
      <c r="C577" s="158">
        <f t="shared" si="93"/>
        <v>44476</v>
      </c>
      <c r="E577" s="241">
        <v>2460966</v>
      </c>
      <c r="F577" s="7"/>
      <c r="G577" s="7">
        <v>1166443</v>
      </c>
      <c r="H577" s="7"/>
      <c r="I577" s="7">
        <v>393499</v>
      </c>
      <c r="J577" s="244"/>
      <c r="K577" s="7">
        <f t="shared" si="99"/>
        <v>4020908</v>
      </c>
      <c r="L577" s="6"/>
      <c r="M577" s="438">
        <f t="shared" si="100"/>
        <v>2.0272763996368598E-3</v>
      </c>
      <c r="N577" s="29"/>
      <c r="O577" s="29"/>
      <c r="P577" s="29"/>
      <c r="Q577" s="332">
        <f t="shared" si="101"/>
        <v>8135</v>
      </c>
      <c r="R577" s="6"/>
      <c r="S577" s="7">
        <f>55590+27551+8667</f>
        <v>91808</v>
      </c>
      <c r="T577" s="6"/>
      <c r="U577" s="243">
        <v>2.402125115017657E-2</v>
      </c>
      <c r="W577">
        <f t="shared" si="97"/>
        <v>567</v>
      </c>
      <c r="Y577" s="56"/>
    </row>
    <row r="578" spans="3:25" x14ac:dyDescent="0.3">
      <c r="C578" s="158">
        <f t="shared" si="93"/>
        <v>44477</v>
      </c>
      <c r="E578" s="241">
        <v>2466780</v>
      </c>
      <c r="F578" s="7"/>
      <c r="G578" s="7">
        <v>1168312</v>
      </c>
      <c r="H578" s="7"/>
      <c r="I578" s="7">
        <v>394008</v>
      </c>
      <c r="J578" s="244"/>
      <c r="K578" s="7">
        <f t="shared" si="99"/>
        <v>4029100</v>
      </c>
      <c r="L578" s="6"/>
      <c r="M578" s="438">
        <f t="shared" si="100"/>
        <v>2.0373507675380785E-3</v>
      </c>
      <c r="N578" s="29"/>
      <c r="O578" s="29"/>
      <c r="P578" s="29"/>
      <c r="Q578" s="332">
        <f t="shared" si="101"/>
        <v>8192</v>
      </c>
      <c r="R578" s="6"/>
      <c r="S578" s="7">
        <f>55645+27570+8667</f>
        <v>91882</v>
      </c>
      <c r="T578" s="6"/>
      <c r="U578" s="243">
        <v>2.402125115017657E-2</v>
      </c>
      <c r="W578">
        <f t="shared" si="97"/>
        <v>568</v>
      </c>
      <c r="Y578" s="56"/>
    </row>
    <row r="579" spans="3:25" x14ac:dyDescent="0.3">
      <c r="C579" s="158">
        <f t="shared" si="93"/>
        <v>44478</v>
      </c>
      <c r="E579" s="241">
        <v>2470550</v>
      </c>
      <c r="F579" s="7"/>
      <c r="G579" s="7">
        <v>1170140</v>
      </c>
      <c r="H579" s="7"/>
      <c r="I579" s="7">
        <v>394008</v>
      </c>
      <c r="J579" s="244"/>
      <c r="K579" s="7">
        <f t="shared" si="99"/>
        <v>4034698</v>
      </c>
      <c r="L579" s="6"/>
      <c r="M579" s="438">
        <f t="shared" si="100"/>
        <v>1.3893921719490706E-3</v>
      </c>
      <c r="N579" s="29"/>
      <c r="O579" s="29"/>
      <c r="P579" s="29"/>
      <c r="Q579" s="332">
        <f t="shared" si="101"/>
        <v>5598</v>
      </c>
      <c r="R579" s="6"/>
      <c r="S579" s="7">
        <f>55673+27590+8667</f>
        <v>91930</v>
      </c>
      <c r="T579" s="6"/>
      <c r="U579" s="243">
        <v>2.402125115017657E-2</v>
      </c>
      <c r="W579">
        <f t="shared" si="97"/>
        <v>569</v>
      </c>
      <c r="Y579" s="56"/>
    </row>
    <row r="580" spans="3:25" x14ac:dyDescent="0.3">
      <c r="C580" s="347">
        <f t="shared" si="93"/>
        <v>44479</v>
      </c>
      <c r="E580" s="241">
        <v>2472757</v>
      </c>
      <c r="F580" s="7"/>
      <c r="G580" s="7">
        <v>1171573</v>
      </c>
      <c r="H580" s="7"/>
      <c r="I580" s="7">
        <v>394008</v>
      </c>
      <c r="J580" s="244"/>
      <c r="K580" s="7">
        <f t="shared" si="99"/>
        <v>4038338</v>
      </c>
      <c r="L580" s="6"/>
      <c r="M580" s="438">
        <f t="shared" si="100"/>
        <v>9.0217409084893097E-4</v>
      </c>
      <c r="N580" s="29"/>
      <c r="O580" s="29"/>
      <c r="P580" s="29"/>
      <c r="Q580" s="332">
        <f t="shared" si="101"/>
        <v>3640</v>
      </c>
      <c r="R580" s="6"/>
      <c r="S580" s="7">
        <f>55698+27597+8667</f>
        <v>91962</v>
      </c>
      <c r="T580" s="6"/>
      <c r="U580" s="243">
        <v>2.402125115017657E-2</v>
      </c>
      <c r="W580">
        <f t="shared" si="97"/>
        <v>570</v>
      </c>
      <c r="Y580" s="56"/>
    </row>
    <row r="581" spans="3:25" x14ac:dyDescent="0.3">
      <c r="C581" s="158">
        <f t="shared" si="93"/>
        <v>44480</v>
      </c>
      <c r="E581" s="241">
        <f>+E580+5000</f>
        <v>2477757</v>
      </c>
      <c r="F581" s="584" t="s">
        <v>26</v>
      </c>
      <c r="G581" s="7">
        <f>+G580+1250</f>
        <v>1172823</v>
      </c>
      <c r="H581" s="584" t="s">
        <v>26</v>
      </c>
      <c r="I581" s="7">
        <f>+I580+600</f>
        <v>394608</v>
      </c>
      <c r="J581" s="244"/>
      <c r="K581" s="7">
        <f t="shared" si="99"/>
        <v>4045188</v>
      </c>
      <c r="L581" s="6"/>
      <c r="M581" s="438">
        <f t="shared" si="100"/>
        <v>1.6962423650521575E-3</v>
      </c>
      <c r="N581" s="29"/>
      <c r="O581" s="29"/>
      <c r="P581" s="29"/>
      <c r="Q581" s="332">
        <f t="shared" si="101"/>
        <v>6850</v>
      </c>
      <c r="R581" s="6"/>
      <c r="S581" s="7">
        <f>+S580+80</f>
        <v>92042</v>
      </c>
      <c r="T581" s="6"/>
      <c r="U581" s="243">
        <v>2.402125115017657E-2</v>
      </c>
      <c r="W581">
        <f t="shared" si="97"/>
        <v>571</v>
      </c>
      <c r="Y581" s="56"/>
    </row>
    <row r="582" spans="3:25" x14ac:dyDescent="0.3">
      <c r="C582" s="158">
        <f t="shared" si="93"/>
        <v>44481</v>
      </c>
      <c r="E582" s="241">
        <f>+E581+5000</f>
        <v>2482757</v>
      </c>
      <c r="F582" s="584" t="s">
        <v>26</v>
      </c>
      <c r="G582" s="7">
        <f>+G581+1250</f>
        <v>1174073</v>
      </c>
      <c r="H582" s="584" t="s">
        <v>26</v>
      </c>
      <c r="I582" s="7">
        <f>+I581+600</f>
        <v>395208</v>
      </c>
      <c r="J582" s="244"/>
      <c r="K582" s="7">
        <f t="shared" si="99"/>
        <v>4052038</v>
      </c>
      <c r="L582" s="6"/>
      <c r="M582" s="438">
        <f t="shared" si="100"/>
        <v>1.6933699991199421E-3</v>
      </c>
      <c r="N582" s="29"/>
      <c r="O582" s="29"/>
      <c r="P582" s="29"/>
      <c r="Q582" s="332">
        <f t="shared" si="101"/>
        <v>6850</v>
      </c>
      <c r="R582" s="6"/>
      <c r="S582" s="7">
        <f>+S581+80</f>
        <v>92122</v>
      </c>
      <c r="T582" s="6"/>
      <c r="U582" s="243">
        <v>2.402125115017657E-2</v>
      </c>
      <c r="W582">
        <f t="shared" si="97"/>
        <v>572</v>
      </c>
      <c r="Y582" s="56"/>
    </row>
    <row r="583" spans="3:25" x14ac:dyDescent="0.3">
      <c r="C583" s="158">
        <f t="shared" si="93"/>
        <v>44482</v>
      </c>
      <c r="E583" s="241">
        <v>2487921</v>
      </c>
      <c r="F583" s="7"/>
      <c r="G583" s="7">
        <v>1175915</v>
      </c>
      <c r="H583" s="7"/>
      <c r="I583" s="7">
        <v>395721</v>
      </c>
      <c r="J583" s="244"/>
      <c r="K583" s="7">
        <f t="shared" si="99"/>
        <v>4059557</v>
      </c>
      <c r="L583" s="6"/>
      <c r="M583" s="438">
        <f t="shared" si="100"/>
        <v>1.8556094488748624E-3</v>
      </c>
      <c r="N583" s="29"/>
      <c r="O583" s="29"/>
      <c r="P583" s="29"/>
      <c r="Q583" s="332">
        <f t="shared" si="101"/>
        <v>7519</v>
      </c>
      <c r="R583" s="6"/>
      <c r="S583" s="7">
        <f>55852+27653+8705</f>
        <v>92210</v>
      </c>
      <c r="T583" s="6"/>
      <c r="U583" s="243">
        <v>2.402125115017657E-2</v>
      </c>
      <c r="W583">
        <f t="shared" si="97"/>
        <v>573</v>
      </c>
      <c r="Y583" s="56"/>
    </row>
    <row r="584" spans="3:25" x14ac:dyDescent="0.3">
      <c r="C584" s="158">
        <f t="shared" si="93"/>
        <v>44483</v>
      </c>
      <c r="E584" s="241">
        <v>2492423</v>
      </c>
      <c r="F584" s="7"/>
      <c r="G584" s="7">
        <v>1177553</v>
      </c>
      <c r="H584" s="7"/>
      <c r="I584" s="7">
        <v>396629</v>
      </c>
      <c r="J584" s="244"/>
      <c r="K584" s="7">
        <f t="shared" si="99"/>
        <v>4066605</v>
      </c>
      <c r="L584" s="6"/>
      <c r="M584" s="438">
        <f t="shared" si="100"/>
        <v>1.7361500281927315E-3</v>
      </c>
      <c r="N584" s="29"/>
      <c r="O584" s="29"/>
      <c r="P584" s="29"/>
      <c r="Q584" s="332">
        <f t="shared" si="101"/>
        <v>7048</v>
      </c>
      <c r="R584" s="6"/>
      <c r="S584" s="7">
        <f>55852+27637+8707</f>
        <v>92196</v>
      </c>
      <c r="T584" s="6"/>
      <c r="U584" s="243">
        <v>2.402125115017657E-2</v>
      </c>
      <c r="W584">
        <f t="shared" si="97"/>
        <v>574</v>
      </c>
      <c r="Y584" s="56"/>
    </row>
    <row r="585" spans="3:25" x14ac:dyDescent="0.3">
      <c r="C585" s="158">
        <f t="shared" si="93"/>
        <v>44484</v>
      </c>
      <c r="E585" s="241">
        <v>2498646</v>
      </c>
      <c r="F585" s="7"/>
      <c r="G585" s="7">
        <v>1178936</v>
      </c>
      <c r="H585" s="7"/>
      <c r="I585" s="7">
        <v>397123</v>
      </c>
      <c r="J585" s="244"/>
      <c r="K585" s="7">
        <f t="shared" ref="K585:K616" si="102">SUM(E585:I585)</f>
        <v>4074705</v>
      </c>
      <c r="L585" s="6"/>
      <c r="M585" s="438">
        <f t="shared" ref="M585:M616" si="103">+(K585-K584)/K584</f>
        <v>1.9918334827208443E-3</v>
      </c>
      <c r="N585" s="29"/>
      <c r="O585" s="29"/>
      <c r="P585" s="29"/>
      <c r="Q585" s="332">
        <f t="shared" ref="Q585:Q616" si="104">+K585-K584</f>
        <v>8100</v>
      </c>
      <c r="R585" s="6"/>
      <c r="S585" s="7">
        <f>55916+27692+8718</f>
        <v>92326</v>
      </c>
      <c r="T585" s="6"/>
      <c r="U585" s="243">
        <v>2.402125115017657E-2</v>
      </c>
      <c r="W585">
        <f t="shared" si="97"/>
        <v>575</v>
      </c>
      <c r="Y585" s="56"/>
    </row>
    <row r="586" spans="3:25" x14ac:dyDescent="0.3">
      <c r="C586" s="158">
        <f t="shared" si="93"/>
        <v>44485</v>
      </c>
      <c r="E586" s="241">
        <v>2502914</v>
      </c>
      <c r="F586" s="7"/>
      <c r="G586" s="7">
        <v>1180388</v>
      </c>
      <c r="H586" s="7"/>
      <c r="I586" s="7">
        <v>397123</v>
      </c>
      <c r="J586" s="244"/>
      <c r="K586" s="7">
        <f t="shared" si="102"/>
        <v>4080425</v>
      </c>
      <c r="L586" s="6"/>
      <c r="M586" s="438">
        <f t="shared" si="103"/>
        <v>1.403782605121107E-3</v>
      </c>
      <c r="N586" s="29"/>
      <c r="O586" s="29"/>
      <c r="P586" s="29"/>
      <c r="Q586" s="332">
        <f t="shared" si="104"/>
        <v>5720</v>
      </c>
      <c r="R586" s="6"/>
      <c r="S586" s="7">
        <f>55935+27720+8718</f>
        <v>92373</v>
      </c>
      <c r="T586" s="6"/>
      <c r="U586" s="243">
        <v>2.402125115017657E-2</v>
      </c>
      <c r="W586">
        <f t="shared" si="97"/>
        <v>576</v>
      </c>
      <c r="Y586" s="56"/>
    </row>
    <row r="587" spans="3:25" x14ac:dyDescent="0.3">
      <c r="C587" s="347">
        <f t="shared" si="93"/>
        <v>44486</v>
      </c>
      <c r="E587" s="241">
        <v>2506247</v>
      </c>
      <c r="F587" s="7"/>
      <c r="G587" s="7">
        <v>1181284</v>
      </c>
      <c r="H587" s="7"/>
      <c r="I587" s="7">
        <v>397123</v>
      </c>
      <c r="J587" s="244"/>
      <c r="K587" s="7">
        <f t="shared" si="102"/>
        <v>4084654</v>
      </c>
      <c r="L587" s="6"/>
      <c r="M587" s="438">
        <f t="shared" si="103"/>
        <v>1.0364116482964396E-3</v>
      </c>
      <c r="N587" s="29"/>
      <c r="O587" s="29"/>
      <c r="P587" s="29"/>
      <c r="Q587" s="332">
        <f t="shared" si="104"/>
        <v>4229</v>
      </c>
      <c r="R587" s="6"/>
      <c r="S587" s="7">
        <f>55965+27725+8718</f>
        <v>92408</v>
      </c>
      <c r="T587" s="6"/>
      <c r="U587" s="243">
        <v>2.402125115017657E-2</v>
      </c>
      <c r="W587">
        <f t="shared" si="97"/>
        <v>577</v>
      </c>
      <c r="Y587" s="56"/>
    </row>
    <row r="588" spans="3:25" x14ac:dyDescent="0.3">
      <c r="C588" s="158">
        <f t="shared" si="93"/>
        <v>44487</v>
      </c>
      <c r="E588" s="241">
        <v>2511182</v>
      </c>
      <c r="F588" s="7"/>
      <c r="G588" s="7">
        <v>1182051</v>
      </c>
      <c r="H588" s="7"/>
      <c r="I588" s="7">
        <v>398270</v>
      </c>
      <c r="J588" s="244"/>
      <c r="K588" s="7">
        <f t="shared" si="102"/>
        <v>4091503</v>
      </c>
      <c r="L588" s="6"/>
      <c r="M588" s="438">
        <f t="shared" si="103"/>
        <v>1.676763809125571E-3</v>
      </c>
      <c r="N588" s="29"/>
      <c r="O588" s="29"/>
      <c r="P588" s="29"/>
      <c r="Q588" s="332">
        <f t="shared" si="104"/>
        <v>6849</v>
      </c>
      <c r="R588" s="6"/>
      <c r="S588" s="7">
        <f>56008+27737+8718</f>
        <v>92463</v>
      </c>
      <c r="T588" s="6"/>
      <c r="U588" s="243">
        <v>2.402125115017657E-2</v>
      </c>
      <c r="W588">
        <f t="shared" si="97"/>
        <v>578</v>
      </c>
      <c r="Y588" s="56"/>
    </row>
    <row r="589" spans="3:25" x14ac:dyDescent="0.3">
      <c r="C589" s="158">
        <f t="shared" si="93"/>
        <v>44488</v>
      </c>
      <c r="E589" s="241">
        <v>2514422</v>
      </c>
      <c r="F589" s="7"/>
      <c r="G589" s="7">
        <v>1183289</v>
      </c>
      <c r="H589" s="7"/>
      <c r="I589" s="7">
        <v>398979</v>
      </c>
      <c r="J589" s="244"/>
      <c r="K589" s="7">
        <f t="shared" si="102"/>
        <v>4096690</v>
      </c>
      <c r="L589" s="6"/>
      <c r="M589" s="438">
        <f t="shared" si="103"/>
        <v>1.267749284309458E-3</v>
      </c>
      <c r="N589" s="29"/>
      <c r="O589" s="29"/>
      <c r="P589" s="29"/>
      <c r="Q589" s="332">
        <f t="shared" si="104"/>
        <v>5187</v>
      </c>
      <c r="R589" s="6"/>
      <c r="S589" s="7">
        <f>56038+27768+8721</f>
        <v>92527</v>
      </c>
      <c r="T589" s="6"/>
      <c r="U589" s="243">
        <v>2.402125115017657E-2</v>
      </c>
      <c r="W589">
        <f t="shared" si="97"/>
        <v>579</v>
      </c>
      <c r="Y589" s="56"/>
    </row>
    <row r="590" spans="3:25" x14ac:dyDescent="0.3">
      <c r="C590" s="158">
        <f t="shared" si="93"/>
        <v>44489</v>
      </c>
      <c r="E590" s="241">
        <v>2519197</v>
      </c>
      <c r="F590" s="7"/>
      <c r="G590" s="7">
        <v>1184395</v>
      </c>
      <c r="H590" s="7"/>
      <c r="I590" s="7">
        <v>399363</v>
      </c>
      <c r="J590" s="244"/>
      <c r="K590" s="7">
        <f t="shared" si="102"/>
        <v>4102955</v>
      </c>
      <c r="L590" s="6"/>
      <c r="M590" s="438">
        <f t="shared" si="103"/>
        <v>1.5292833970839874E-3</v>
      </c>
      <c r="N590" s="29"/>
      <c r="O590" s="29"/>
      <c r="P590" s="29"/>
      <c r="Q590" s="332">
        <f t="shared" si="104"/>
        <v>6265</v>
      </c>
      <c r="R590" s="6"/>
      <c r="S590" s="7">
        <f>56077+27783+8721</f>
        <v>92581</v>
      </c>
      <c r="T590" s="6"/>
      <c r="U590" s="243">
        <v>2.402125115017657E-2</v>
      </c>
      <c r="W590">
        <f t="shared" si="97"/>
        <v>580</v>
      </c>
      <c r="Y590" s="56"/>
    </row>
    <row r="591" spans="3:25" x14ac:dyDescent="0.3">
      <c r="C591" s="158">
        <f t="shared" si="93"/>
        <v>44490</v>
      </c>
      <c r="E591" s="241">
        <v>2523560</v>
      </c>
      <c r="F591" s="7"/>
      <c r="G591" s="7">
        <v>1185863</v>
      </c>
      <c r="H591" s="7"/>
      <c r="I591" s="7">
        <v>399773</v>
      </c>
      <c r="J591" s="244"/>
      <c r="K591" s="7">
        <f t="shared" si="102"/>
        <v>4109196</v>
      </c>
      <c r="L591" s="6"/>
      <c r="M591" s="438">
        <f t="shared" si="103"/>
        <v>1.5210988178032661E-3</v>
      </c>
      <c r="N591" s="29"/>
      <c r="O591" s="29"/>
      <c r="P591" s="29"/>
      <c r="Q591" s="332">
        <f t="shared" si="104"/>
        <v>6241</v>
      </c>
      <c r="R591" s="6"/>
      <c r="S591" s="7">
        <f>56130+27805+8721</f>
        <v>92656</v>
      </c>
      <c r="T591" s="6"/>
      <c r="U591" s="243">
        <v>2.402125115017657E-2</v>
      </c>
      <c r="W591">
        <f t="shared" si="97"/>
        <v>581</v>
      </c>
      <c r="Y591" s="56"/>
    </row>
    <row r="592" spans="3:25" x14ac:dyDescent="0.3">
      <c r="C592" s="158">
        <f t="shared" si="93"/>
        <v>44491</v>
      </c>
      <c r="E592" s="241">
        <v>2527230</v>
      </c>
      <c r="F592" s="7"/>
      <c r="G592" s="7">
        <v>1187569</v>
      </c>
      <c r="H592" s="7"/>
      <c r="I592" s="7">
        <v>400226</v>
      </c>
      <c r="J592" s="244"/>
      <c r="K592" s="7">
        <f t="shared" si="102"/>
        <v>4115025</v>
      </c>
      <c r="L592" s="6"/>
      <c r="M592" s="438">
        <f t="shared" si="103"/>
        <v>1.4185256677948679E-3</v>
      </c>
      <c r="N592" s="29"/>
      <c r="O592" s="29"/>
      <c r="P592" s="29"/>
      <c r="Q592" s="332">
        <f t="shared" si="104"/>
        <v>5829</v>
      </c>
      <c r="R592" s="6"/>
      <c r="S592" s="7">
        <f>56169+27828+8739</f>
        <v>92736</v>
      </c>
      <c r="T592" s="6"/>
      <c r="U592" s="243">
        <v>2.402125115017657E-2</v>
      </c>
      <c r="W592">
        <f t="shared" si="97"/>
        <v>582</v>
      </c>
      <c r="Y592" s="56"/>
    </row>
    <row r="593" spans="3:25" x14ac:dyDescent="0.3">
      <c r="C593" s="158">
        <f t="shared" si="93"/>
        <v>44492</v>
      </c>
      <c r="E593" s="241">
        <v>2530860</v>
      </c>
      <c r="F593" s="7"/>
      <c r="G593" s="7">
        <v>1188709</v>
      </c>
      <c r="H593" s="7"/>
      <c r="I593" s="7">
        <v>400226</v>
      </c>
      <c r="J593" s="244"/>
      <c r="K593" s="7">
        <f t="shared" si="102"/>
        <v>4119795</v>
      </c>
      <c r="L593" s="6"/>
      <c r="M593" s="438">
        <f t="shared" si="103"/>
        <v>1.1591667122313959E-3</v>
      </c>
      <c r="N593" s="29"/>
      <c r="O593" s="29"/>
      <c r="P593" s="29"/>
      <c r="Q593" s="332">
        <f t="shared" si="104"/>
        <v>4770</v>
      </c>
      <c r="R593" s="6"/>
      <c r="S593" s="7">
        <f>56199+27848+8739</f>
        <v>92786</v>
      </c>
      <c r="T593" s="6"/>
      <c r="U593" s="243">
        <v>2.402125115017657E-2</v>
      </c>
      <c r="W593">
        <f t="shared" si="97"/>
        <v>583</v>
      </c>
      <c r="Y593" s="56"/>
    </row>
    <row r="594" spans="3:25" x14ac:dyDescent="0.3">
      <c r="C594" s="347">
        <f t="shared" si="93"/>
        <v>44493</v>
      </c>
      <c r="E594" s="241">
        <v>2533155</v>
      </c>
      <c r="F594" s="7"/>
      <c r="G594" s="7">
        <v>1189496</v>
      </c>
      <c r="H594" s="7"/>
      <c r="I594" s="7">
        <v>400226</v>
      </c>
      <c r="J594" s="244"/>
      <c r="K594" s="7">
        <f t="shared" si="102"/>
        <v>4122877</v>
      </c>
      <c r="L594" s="6"/>
      <c r="M594" s="438">
        <f t="shared" si="103"/>
        <v>7.4809547562439398E-4</v>
      </c>
      <c r="N594" s="29"/>
      <c r="O594" s="29"/>
      <c r="P594" s="29"/>
      <c r="Q594" s="332">
        <f t="shared" si="104"/>
        <v>3082</v>
      </c>
      <c r="R594" s="6"/>
      <c r="S594" s="7">
        <f>56222+27851+8739</f>
        <v>92812</v>
      </c>
      <c r="T594" s="6"/>
      <c r="U594" s="243">
        <v>2.402125115017657E-2</v>
      </c>
      <c r="W594">
        <f t="shared" si="97"/>
        <v>584</v>
      </c>
      <c r="Y594" s="56"/>
    </row>
    <row r="595" spans="3:25" x14ac:dyDescent="0.3">
      <c r="C595" s="158">
        <f t="shared" si="93"/>
        <v>44494</v>
      </c>
      <c r="E595" s="241">
        <v>2537823</v>
      </c>
      <c r="F595" s="7"/>
      <c r="G595" s="7">
        <v>1190439</v>
      </c>
      <c r="H595" s="7"/>
      <c r="I595" s="7">
        <v>401125</v>
      </c>
      <c r="J595" s="244"/>
      <c r="K595" s="7">
        <f t="shared" si="102"/>
        <v>4129387</v>
      </c>
      <c r="L595" s="6"/>
      <c r="M595" s="438">
        <f t="shared" si="103"/>
        <v>1.5789944740044392E-3</v>
      </c>
      <c r="N595" s="29"/>
      <c r="O595" s="29"/>
      <c r="P595" s="29"/>
      <c r="Q595" s="332">
        <f t="shared" si="104"/>
        <v>6510</v>
      </c>
      <c r="R595" s="6"/>
      <c r="S595" s="7">
        <f>56270+27863+8739</f>
        <v>92872</v>
      </c>
      <c r="T595" s="6"/>
      <c r="U595" s="243">
        <v>2.402125115017657E-2</v>
      </c>
      <c r="W595">
        <f t="shared" si="97"/>
        <v>585</v>
      </c>
      <c r="Y595" s="56"/>
    </row>
    <row r="596" spans="3:25" x14ac:dyDescent="0.3">
      <c r="C596" s="158">
        <f t="shared" si="93"/>
        <v>44495</v>
      </c>
      <c r="E596" s="241">
        <v>2540255</v>
      </c>
      <c r="F596" s="7"/>
      <c r="G596" s="7">
        <v>1191912</v>
      </c>
      <c r="H596" s="7"/>
      <c r="I596" s="7">
        <v>401379</v>
      </c>
      <c r="J596" s="244"/>
      <c r="K596" s="7">
        <f t="shared" si="102"/>
        <v>4133546</v>
      </c>
      <c r="L596" s="6"/>
      <c r="M596" s="438">
        <f t="shared" si="103"/>
        <v>1.0071712823235023E-3</v>
      </c>
      <c r="N596" s="29"/>
      <c r="O596" s="29"/>
      <c r="P596" s="29"/>
      <c r="Q596" s="332">
        <f t="shared" si="104"/>
        <v>4159</v>
      </c>
      <c r="R596" s="6"/>
      <c r="S596" s="7">
        <f>56302+27896+8752</f>
        <v>92950</v>
      </c>
      <c r="T596" s="6"/>
      <c r="U596" s="243">
        <v>2.402125115017657E-2</v>
      </c>
      <c r="W596">
        <f t="shared" si="97"/>
        <v>586</v>
      </c>
      <c r="Y596" s="56"/>
    </row>
    <row r="597" spans="3:25" x14ac:dyDescent="0.3">
      <c r="C597" s="158">
        <f t="shared" si="93"/>
        <v>44496</v>
      </c>
      <c r="E597" s="241">
        <v>2544431</v>
      </c>
      <c r="F597" s="7"/>
      <c r="G597" s="7">
        <v>1193201</v>
      </c>
      <c r="H597" s="7"/>
      <c r="I597" s="7">
        <v>401716</v>
      </c>
      <c r="J597" s="244"/>
      <c r="K597" s="7">
        <f t="shared" si="102"/>
        <v>4139348</v>
      </c>
      <c r="L597" s="6"/>
      <c r="M597" s="438">
        <f t="shared" si="103"/>
        <v>1.4036374580082089E-3</v>
      </c>
      <c r="N597" s="29"/>
      <c r="O597" s="29"/>
      <c r="P597" s="29"/>
      <c r="Q597" s="332">
        <f t="shared" si="104"/>
        <v>5802</v>
      </c>
      <c r="R597" s="6"/>
      <c r="S597" s="7">
        <f>56341+27929+8752</f>
        <v>93022</v>
      </c>
      <c r="T597" s="6"/>
      <c r="U597" s="243">
        <v>2.402125115017657E-2</v>
      </c>
      <c r="W597">
        <f t="shared" si="97"/>
        <v>587</v>
      </c>
      <c r="Y597" s="56"/>
    </row>
    <row r="598" spans="3:25" x14ac:dyDescent="0.3">
      <c r="C598" s="158">
        <f t="shared" si="93"/>
        <v>44497</v>
      </c>
      <c r="E598" s="241">
        <v>2547865</v>
      </c>
      <c r="F598" s="7"/>
      <c r="G598" s="7">
        <v>1195166</v>
      </c>
      <c r="H598" s="7"/>
      <c r="I598" s="7">
        <v>402159</v>
      </c>
      <c r="J598" s="244"/>
      <c r="K598" s="7">
        <f t="shared" si="102"/>
        <v>4145190</v>
      </c>
      <c r="L598" s="6"/>
      <c r="M598" s="438">
        <f t="shared" si="103"/>
        <v>1.411333379073226E-3</v>
      </c>
      <c r="N598" s="29"/>
      <c r="O598" s="29"/>
      <c r="P598" s="29"/>
      <c r="Q598" s="332">
        <f t="shared" si="104"/>
        <v>5842</v>
      </c>
      <c r="R598" s="6"/>
      <c r="S598" s="7">
        <f>56371+27949+8751</f>
        <v>93071</v>
      </c>
      <c r="T598" s="6"/>
      <c r="U598" s="243">
        <v>2.402125115017657E-2</v>
      </c>
      <c r="W598">
        <f t="shared" si="97"/>
        <v>588</v>
      </c>
      <c r="Y598" s="56"/>
    </row>
    <row r="599" spans="3:25" x14ac:dyDescent="0.3">
      <c r="C599" s="158">
        <f t="shared" si="93"/>
        <v>44498</v>
      </c>
      <c r="E599" s="241">
        <v>2553446</v>
      </c>
      <c r="F599" s="7"/>
      <c r="G599" s="7">
        <v>1196472</v>
      </c>
      <c r="H599" s="7"/>
      <c r="I599" s="7">
        <v>402583</v>
      </c>
      <c r="J599" s="244"/>
      <c r="K599" s="7">
        <f t="shared" si="102"/>
        <v>4152501</v>
      </c>
      <c r="L599" s="6"/>
      <c r="M599" s="438">
        <f t="shared" si="103"/>
        <v>1.7637309749372165E-3</v>
      </c>
      <c r="N599" s="29"/>
      <c r="O599" s="29"/>
      <c r="P599" s="29"/>
      <c r="Q599" s="332">
        <f t="shared" si="104"/>
        <v>7311</v>
      </c>
      <c r="R599" s="6"/>
      <c r="S599" s="7">
        <f>56410+27961+8764</f>
        <v>93135</v>
      </c>
      <c r="T599" s="6"/>
      <c r="U599" s="243">
        <v>2.402125115017657E-2</v>
      </c>
      <c r="W599">
        <f t="shared" si="97"/>
        <v>589</v>
      </c>
      <c r="Y599" s="56"/>
    </row>
    <row r="600" spans="3:25" x14ac:dyDescent="0.3">
      <c r="C600" s="158">
        <f t="shared" si="93"/>
        <v>44499</v>
      </c>
      <c r="E600" s="241">
        <v>2555500</v>
      </c>
      <c r="F600" s="584" t="s">
        <v>26</v>
      </c>
      <c r="G600" s="7">
        <v>1197500</v>
      </c>
      <c r="H600" s="584" t="s">
        <v>26</v>
      </c>
      <c r="I600" s="7">
        <v>402583</v>
      </c>
      <c r="J600" s="584" t="s">
        <v>26</v>
      </c>
      <c r="K600" s="7">
        <f t="shared" si="102"/>
        <v>4155583</v>
      </c>
      <c r="L600" s="6"/>
      <c r="M600" s="438">
        <f t="shared" si="103"/>
        <v>7.4220331313586683E-4</v>
      </c>
      <c r="N600" s="29"/>
      <c r="O600" s="29"/>
      <c r="P600" s="29"/>
      <c r="Q600" s="332">
        <f t="shared" si="104"/>
        <v>3082</v>
      </c>
      <c r="R600" s="6"/>
      <c r="S600" s="7">
        <f>56410+27961+8764</f>
        <v>93135</v>
      </c>
      <c r="T600" s="6"/>
      <c r="U600" s="243">
        <v>2.402125115017657E-2</v>
      </c>
      <c r="W600">
        <f t="shared" si="97"/>
        <v>590</v>
      </c>
      <c r="Y600" s="56"/>
    </row>
    <row r="601" spans="3:25" x14ac:dyDescent="0.3">
      <c r="C601" s="347">
        <f t="shared" si="93"/>
        <v>44500</v>
      </c>
      <c r="E601" s="241">
        <v>2556628</v>
      </c>
      <c r="F601" s="7"/>
      <c r="G601" s="7">
        <v>1198917</v>
      </c>
      <c r="H601" s="7"/>
      <c r="I601" s="7">
        <v>402583</v>
      </c>
      <c r="J601" s="244"/>
      <c r="K601" s="7">
        <f t="shared" si="102"/>
        <v>4158128</v>
      </c>
      <c r="L601" s="6"/>
      <c r="M601" s="438">
        <f t="shared" si="103"/>
        <v>6.1242911042806746E-4</v>
      </c>
      <c r="N601" s="29"/>
      <c r="O601" s="29"/>
      <c r="P601" s="29"/>
      <c r="Q601" s="332">
        <f t="shared" si="104"/>
        <v>2545</v>
      </c>
      <c r="R601" s="6"/>
      <c r="S601" s="7">
        <f>56413+27972+8764</f>
        <v>93149</v>
      </c>
      <c r="T601" s="6"/>
      <c r="U601" s="243">
        <v>2.402125115017657E-2</v>
      </c>
      <c r="W601">
        <f t="shared" si="97"/>
        <v>591</v>
      </c>
      <c r="Y601" s="56"/>
    </row>
    <row r="602" spans="3:25" x14ac:dyDescent="0.3">
      <c r="C602" s="158">
        <f t="shared" si="93"/>
        <v>44501</v>
      </c>
      <c r="E602" s="241">
        <v>2564789</v>
      </c>
      <c r="F602" s="7"/>
      <c r="G602" s="7">
        <v>1199738</v>
      </c>
      <c r="H602" s="7"/>
      <c r="I602" s="7">
        <v>403415</v>
      </c>
      <c r="J602" s="244"/>
      <c r="K602" s="7">
        <f t="shared" si="102"/>
        <v>4167942</v>
      </c>
      <c r="L602" s="6"/>
      <c r="M602" s="438">
        <f t="shared" si="103"/>
        <v>2.360196703901371E-3</v>
      </c>
      <c r="N602" s="29"/>
      <c r="O602" s="29"/>
      <c r="P602" s="29"/>
      <c r="Q602" s="332">
        <f t="shared" si="104"/>
        <v>9814</v>
      </c>
      <c r="R602" s="6"/>
      <c r="S602" s="7">
        <f>56510+27980+8766</f>
        <v>93256</v>
      </c>
      <c r="T602" s="6"/>
      <c r="U602" s="243">
        <v>2.402125115017657E-2</v>
      </c>
      <c r="W602">
        <f t="shared" si="97"/>
        <v>592</v>
      </c>
      <c r="Y602" s="56"/>
    </row>
    <row r="603" spans="3:25" x14ac:dyDescent="0.3">
      <c r="C603" s="158">
        <f t="shared" si="93"/>
        <v>44502</v>
      </c>
      <c r="E603" s="241">
        <v>2567747</v>
      </c>
      <c r="F603" s="7"/>
      <c r="G603" s="7">
        <v>1200953</v>
      </c>
      <c r="H603" s="7"/>
      <c r="I603" s="7">
        <v>403827</v>
      </c>
      <c r="J603" s="244"/>
      <c r="K603" s="7">
        <f t="shared" si="102"/>
        <v>4172527</v>
      </c>
      <c r="L603" s="6"/>
      <c r="M603" s="438">
        <f t="shared" si="103"/>
        <v>1.1000632926273927E-3</v>
      </c>
      <c r="N603" s="29"/>
      <c r="O603" s="29"/>
      <c r="P603" s="29"/>
      <c r="Q603" s="332">
        <f t="shared" si="104"/>
        <v>4585</v>
      </c>
      <c r="R603" s="6"/>
      <c r="S603" s="7">
        <f>56533+28004+8776</f>
        <v>93313</v>
      </c>
      <c r="T603" s="6"/>
      <c r="U603" s="243">
        <v>2.402125115017657E-2</v>
      </c>
      <c r="W603">
        <f t="shared" si="97"/>
        <v>593</v>
      </c>
      <c r="Y603" s="56"/>
    </row>
    <row r="604" spans="3:25" x14ac:dyDescent="0.3">
      <c r="C604" s="158">
        <f t="shared" si="93"/>
        <v>44503</v>
      </c>
      <c r="E604" s="241">
        <v>2571761</v>
      </c>
      <c r="F604" s="7"/>
      <c r="G604" s="7">
        <v>1202251</v>
      </c>
      <c r="H604" s="7"/>
      <c r="I604" s="7">
        <v>404218</v>
      </c>
      <c r="J604" s="244"/>
      <c r="K604" s="7">
        <f t="shared" si="102"/>
        <v>4178230</v>
      </c>
      <c r="L604" s="6"/>
      <c r="M604" s="438">
        <f t="shared" si="103"/>
        <v>1.3667976264743163E-3</v>
      </c>
      <c r="N604" s="29"/>
      <c r="O604" s="29"/>
      <c r="P604" s="29"/>
      <c r="Q604" s="332">
        <f t="shared" si="104"/>
        <v>5703</v>
      </c>
      <c r="R604" s="6"/>
      <c r="S604" s="7">
        <f>56579+28001+8776</f>
        <v>93356</v>
      </c>
      <c r="T604" s="6"/>
      <c r="U604" s="243">
        <v>2.402125115017657E-2</v>
      </c>
      <c r="W604">
        <f t="shared" si="97"/>
        <v>594</v>
      </c>
      <c r="Y604" s="56"/>
    </row>
    <row r="605" spans="3:25" x14ac:dyDescent="0.3">
      <c r="C605" s="158">
        <f t="shared" si="93"/>
        <v>44504</v>
      </c>
      <c r="E605" s="241">
        <v>2576396</v>
      </c>
      <c r="F605" s="7"/>
      <c r="G605" s="7">
        <v>1203755</v>
      </c>
      <c r="H605" s="7"/>
      <c r="I605" s="7">
        <v>404649</v>
      </c>
      <c r="J605" s="244"/>
      <c r="K605" s="7">
        <f t="shared" si="102"/>
        <v>4184800</v>
      </c>
      <c r="L605" s="6"/>
      <c r="M605" s="438">
        <f t="shared" si="103"/>
        <v>1.572436175126788E-3</v>
      </c>
      <c r="N605" s="29"/>
      <c r="O605" s="29"/>
      <c r="P605" s="29"/>
      <c r="Q605" s="332">
        <f t="shared" si="104"/>
        <v>6570</v>
      </c>
      <c r="R605" s="6"/>
      <c r="S605" s="7">
        <f>56610+28011+8776</f>
        <v>93397</v>
      </c>
      <c r="T605" s="6"/>
      <c r="U605" s="243">
        <v>2.402125115017657E-2</v>
      </c>
      <c r="W605">
        <f t="shared" si="97"/>
        <v>595</v>
      </c>
      <c r="Y605" s="56"/>
    </row>
    <row r="606" spans="3:25" x14ac:dyDescent="0.3">
      <c r="C606" s="158">
        <f t="shared" si="93"/>
        <v>44505</v>
      </c>
      <c r="E606" s="241">
        <v>2581256</v>
      </c>
      <c r="F606" s="7"/>
      <c r="G606" s="7">
        <v>1205140</v>
      </c>
      <c r="H606" s="7"/>
      <c r="I606" s="7">
        <v>404969</v>
      </c>
      <c r="J606" s="244"/>
      <c r="K606" s="7">
        <f t="shared" si="102"/>
        <v>4191365</v>
      </c>
      <c r="L606" s="6"/>
      <c r="M606" s="438">
        <f t="shared" si="103"/>
        <v>1.5687727012043586E-3</v>
      </c>
      <c r="N606" s="29"/>
      <c r="O606" s="29"/>
      <c r="P606" s="29"/>
      <c r="Q606" s="332">
        <f t="shared" si="104"/>
        <v>6565</v>
      </c>
      <c r="R606" s="6"/>
      <c r="S606" s="7">
        <f>56660+28062+8790</f>
        <v>93512</v>
      </c>
      <c r="T606" s="6"/>
      <c r="U606" s="243">
        <v>2.402125115017657E-2</v>
      </c>
      <c r="W606">
        <f t="shared" si="97"/>
        <v>596</v>
      </c>
      <c r="Y606" s="56"/>
    </row>
    <row r="607" spans="3:25" x14ac:dyDescent="0.3">
      <c r="C607" s="158">
        <f t="shared" si="93"/>
        <v>44506</v>
      </c>
      <c r="E607" s="241">
        <v>2585365</v>
      </c>
      <c r="F607" s="7"/>
      <c r="G607" s="7">
        <v>1206543</v>
      </c>
      <c r="H607" s="7"/>
      <c r="I607" s="7">
        <v>404969</v>
      </c>
      <c r="J607" s="244"/>
      <c r="K607" s="7">
        <f t="shared" si="102"/>
        <v>4196877</v>
      </c>
      <c r="L607" s="6"/>
      <c r="M607" s="438">
        <f t="shared" si="103"/>
        <v>1.3150847039091083E-3</v>
      </c>
      <c r="N607" s="29"/>
      <c r="O607" s="29"/>
      <c r="P607" s="29"/>
      <c r="Q607" s="332">
        <f t="shared" si="104"/>
        <v>5512</v>
      </c>
      <c r="R607" s="6"/>
      <c r="S607" s="7">
        <f>56692+28080+8790</f>
        <v>93562</v>
      </c>
      <c r="T607" s="6"/>
      <c r="U607" s="243">
        <v>2.402125115017657E-2</v>
      </c>
      <c r="W607">
        <f t="shared" si="97"/>
        <v>597</v>
      </c>
      <c r="Y607" s="56"/>
    </row>
    <row r="608" spans="3:25" x14ac:dyDescent="0.3">
      <c r="C608" s="347">
        <f t="shared" si="93"/>
        <v>44507</v>
      </c>
      <c r="E608" s="241">
        <v>2589297</v>
      </c>
      <c r="F608" s="7"/>
      <c r="G608" s="7">
        <v>1207469</v>
      </c>
      <c r="H608" s="7"/>
      <c r="I608" s="7">
        <v>404969</v>
      </c>
      <c r="J608" s="244"/>
      <c r="K608" s="7">
        <f t="shared" si="102"/>
        <v>4201735</v>
      </c>
      <c r="L608" s="6"/>
      <c r="M608" s="438">
        <f t="shared" si="103"/>
        <v>1.1575273709474925E-3</v>
      </c>
      <c r="N608" s="29"/>
      <c r="O608" s="29"/>
      <c r="P608" s="29"/>
      <c r="Q608" s="332">
        <f t="shared" si="104"/>
        <v>4858</v>
      </c>
      <c r="R608" s="6"/>
      <c r="S608" s="7">
        <f>56712+28085+8790</f>
        <v>93587</v>
      </c>
      <c r="T608" s="6"/>
      <c r="U608" s="243">
        <v>2.402125115017657E-2</v>
      </c>
      <c r="W608">
        <f t="shared" si="97"/>
        <v>598</v>
      </c>
      <c r="Y608" s="56"/>
    </row>
    <row r="609" spans="3:25" x14ac:dyDescent="0.3">
      <c r="C609" s="158">
        <f t="shared" si="93"/>
        <v>44508</v>
      </c>
      <c r="E609" s="241">
        <v>2594515</v>
      </c>
      <c r="F609" s="7"/>
      <c r="G609" s="7">
        <v>1208321</v>
      </c>
      <c r="H609" s="7"/>
      <c r="I609" s="7">
        <v>405910</v>
      </c>
      <c r="J609" s="244"/>
      <c r="K609" s="7">
        <f t="shared" si="102"/>
        <v>4208746</v>
      </c>
      <c r="L609" s="6"/>
      <c r="M609" s="438">
        <f t="shared" si="103"/>
        <v>1.6685964250482241E-3</v>
      </c>
      <c r="N609" s="29"/>
      <c r="O609" s="29"/>
      <c r="P609" s="29"/>
      <c r="Q609" s="332">
        <f t="shared" si="104"/>
        <v>7011</v>
      </c>
      <c r="R609" s="6"/>
      <c r="S609" s="7">
        <f>56749+28092+8790</f>
        <v>93631</v>
      </c>
      <c r="T609" s="6"/>
      <c r="U609" s="243">
        <v>2.402125115017657E-2</v>
      </c>
      <c r="W609">
        <f t="shared" si="97"/>
        <v>599</v>
      </c>
      <c r="Y609" s="56"/>
    </row>
    <row r="610" spans="3:25" x14ac:dyDescent="0.3">
      <c r="C610" s="158">
        <f t="shared" si="93"/>
        <v>44509</v>
      </c>
      <c r="E610" s="241">
        <v>2598730</v>
      </c>
      <c r="F610" s="7"/>
      <c r="G610" s="7">
        <v>1209785</v>
      </c>
      <c r="H610" s="7"/>
      <c r="I610" s="7">
        <v>406219</v>
      </c>
      <c r="J610" s="244"/>
      <c r="K610" s="7">
        <f t="shared" si="102"/>
        <v>4214734</v>
      </c>
      <c r="L610" s="6"/>
      <c r="M610" s="438">
        <f t="shared" si="103"/>
        <v>1.4227515749346718E-3</v>
      </c>
      <c r="N610" s="29"/>
      <c r="O610" s="29"/>
      <c r="P610" s="29"/>
      <c r="Q610" s="332">
        <f t="shared" si="104"/>
        <v>5988</v>
      </c>
      <c r="R610" s="6"/>
      <c r="S610" s="7">
        <f>56793+28119+8806</f>
        <v>93718</v>
      </c>
      <c r="T610" s="6"/>
      <c r="U610" s="243">
        <v>2.402125115017657E-2</v>
      </c>
      <c r="W610">
        <f t="shared" si="97"/>
        <v>600</v>
      </c>
      <c r="Y610" s="56"/>
    </row>
    <row r="611" spans="3:25" x14ac:dyDescent="0.3">
      <c r="C611" s="158">
        <f t="shared" si="93"/>
        <v>44510</v>
      </c>
      <c r="E611" s="241">
        <v>2603833</v>
      </c>
      <c r="F611" s="7"/>
      <c r="G611" s="7">
        <v>1211423</v>
      </c>
      <c r="H611" s="7"/>
      <c r="I611" s="7">
        <v>406752</v>
      </c>
      <c r="J611" s="244"/>
      <c r="K611" s="7">
        <f t="shared" si="102"/>
        <v>4222008</v>
      </c>
      <c r="L611" s="6"/>
      <c r="M611" s="438">
        <f t="shared" si="103"/>
        <v>1.7258503146343281E-3</v>
      </c>
      <c r="N611" s="29"/>
      <c r="O611" s="29"/>
      <c r="P611" s="29"/>
      <c r="Q611" s="332">
        <f t="shared" si="104"/>
        <v>7274</v>
      </c>
      <c r="R611" s="6"/>
      <c r="S611" s="7">
        <f>56828+28134+8809</f>
        <v>93771</v>
      </c>
      <c r="T611" s="6"/>
      <c r="U611" s="243">
        <v>2.402125115017657E-2</v>
      </c>
      <c r="W611">
        <f t="shared" si="97"/>
        <v>601</v>
      </c>
      <c r="Y611" s="56"/>
    </row>
    <row r="612" spans="3:25" x14ac:dyDescent="0.3">
      <c r="C612" s="158">
        <f t="shared" si="93"/>
        <v>44511</v>
      </c>
      <c r="E612" s="241">
        <v>2610481</v>
      </c>
      <c r="F612" s="7"/>
      <c r="G612" s="7">
        <v>1213246</v>
      </c>
      <c r="H612" s="7"/>
      <c r="I612" s="7">
        <v>407292</v>
      </c>
      <c r="J612" s="244"/>
      <c r="K612" s="7">
        <f t="shared" si="102"/>
        <v>4231019</v>
      </c>
      <c r="L612" s="6"/>
      <c r="M612" s="438">
        <f t="shared" si="103"/>
        <v>2.1342924977877827E-3</v>
      </c>
      <c r="N612" s="29"/>
      <c r="O612" s="29"/>
      <c r="P612" s="29"/>
      <c r="Q612" s="332">
        <f t="shared" si="104"/>
        <v>9011</v>
      </c>
      <c r="R612" s="6"/>
      <c r="S612" s="7">
        <f>56868+28146+8809</f>
        <v>93823</v>
      </c>
      <c r="T612" s="6"/>
      <c r="U612" s="243">
        <v>2.402125115017657E-2</v>
      </c>
      <c r="W612">
        <f t="shared" si="97"/>
        <v>602</v>
      </c>
      <c r="Y612" s="56"/>
    </row>
    <row r="613" spans="3:25" x14ac:dyDescent="0.3">
      <c r="C613" s="158">
        <f t="shared" si="93"/>
        <v>44512</v>
      </c>
      <c r="E613" s="241">
        <v>2616725</v>
      </c>
      <c r="F613" s="7"/>
      <c r="G613" s="7">
        <v>1215067</v>
      </c>
      <c r="H613" s="7"/>
      <c r="I613" s="7">
        <v>407750</v>
      </c>
      <c r="J613" s="244"/>
      <c r="K613" s="7">
        <f t="shared" si="102"/>
        <v>4239542</v>
      </c>
      <c r="L613" s="6"/>
      <c r="M613" s="438">
        <f t="shared" si="103"/>
        <v>2.0144083493834463E-3</v>
      </c>
      <c r="N613" s="29"/>
      <c r="O613" s="29"/>
      <c r="P613" s="29"/>
      <c r="Q613" s="332">
        <f t="shared" si="104"/>
        <v>8523</v>
      </c>
      <c r="R613" s="6"/>
      <c r="S613" s="7">
        <f>56907+28152+8809</f>
        <v>93868</v>
      </c>
      <c r="T613" s="6"/>
      <c r="U613" s="243">
        <v>2.402125115017657E-2</v>
      </c>
      <c r="W613">
        <f t="shared" si="97"/>
        <v>603</v>
      </c>
      <c r="Y613" s="56"/>
    </row>
    <row r="614" spans="3:25" x14ac:dyDescent="0.3">
      <c r="C614" s="158">
        <f t="shared" si="93"/>
        <v>44513</v>
      </c>
      <c r="E614" s="241">
        <v>2622131</v>
      </c>
      <c r="F614" s="7"/>
      <c r="G614" s="7">
        <v>1216705</v>
      </c>
      <c r="H614" s="7"/>
      <c r="I614" s="7">
        <v>407750</v>
      </c>
      <c r="J614" s="244"/>
      <c r="K614" s="7">
        <f t="shared" si="102"/>
        <v>4246586</v>
      </c>
      <c r="L614" s="6"/>
      <c r="M614" s="438">
        <f t="shared" si="103"/>
        <v>1.6615002280906759E-3</v>
      </c>
      <c r="N614" s="29"/>
      <c r="O614" s="29"/>
      <c r="P614" s="29"/>
      <c r="Q614" s="332">
        <f t="shared" si="104"/>
        <v>7044</v>
      </c>
      <c r="R614" s="6"/>
      <c r="S614" s="7">
        <f>56922+28169+8809</f>
        <v>93900</v>
      </c>
      <c r="T614" s="6"/>
      <c r="U614" s="243">
        <v>2.402125115017657E-2</v>
      </c>
      <c r="W614">
        <f t="shared" si="97"/>
        <v>604</v>
      </c>
      <c r="Y614" s="56"/>
    </row>
    <row r="615" spans="3:25" x14ac:dyDescent="0.3">
      <c r="C615" s="347">
        <f t="shared" si="93"/>
        <v>44514</v>
      </c>
      <c r="E615" s="241">
        <v>2626522</v>
      </c>
      <c r="F615" s="7"/>
      <c r="G615" s="7">
        <v>1218406</v>
      </c>
      <c r="H615" s="7"/>
      <c r="I615" s="7">
        <v>407750</v>
      </c>
      <c r="J615" s="244"/>
      <c r="K615" s="7">
        <f t="shared" si="102"/>
        <v>4252678</v>
      </c>
      <c r="L615" s="6"/>
      <c r="M615" s="438">
        <f t="shared" si="103"/>
        <v>1.434564141642251E-3</v>
      </c>
      <c r="N615" s="29"/>
      <c r="O615" s="29"/>
      <c r="P615" s="29"/>
      <c r="Q615" s="332">
        <f t="shared" si="104"/>
        <v>6092</v>
      </c>
      <c r="R615" s="6"/>
      <c r="S615" s="7">
        <f>56944+28172+8809</f>
        <v>93925</v>
      </c>
      <c r="T615" s="6"/>
      <c r="U615" s="243">
        <v>2.402125115017657E-2</v>
      </c>
      <c r="W615">
        <f t="shared" si="97"/>
        <v>605</v>
      </c>
      <c r="Y615" s="56"/>
    </row>
    <row r="616" spans="3:25" x14ac:dyDescent="0.3">
      <c r="C616" s="158">
        <f t="shared" si="93"/>
        <v>44515</v>
      </c>
      <c r="E616" s="241">
        <v>2633082</v>
      </c>
      <c r="F616" s="7"/>
      <c r="G616" s="7">
        <v>1219768</v>
      </c>
      <c r="H616" s="7"/>
      <c r="I616" s="7">
        <v>409929</v>
      </c>
      <c r="J616" s="244"/>
      <c r="K616" s="7">
        <f t="shared" si="102"/>
        <v>4262779</v>
      </c>
      <c r="L616" s="6"/>
      <c r="M616" s="438">
        <f t="shared" si="103"/>
        <v>2.3752092211072645E-3</v>
      </c>
      <c r="N616" s="29"/>
      <c r="O616" s="29"/>
      <c r="P616" s="29"/>
      <c r="Q616" s="332">
        <f t="shared" si="104"/>
        <v>10101</v>
      </c>
      <c r="R616" s="6"/>
      <c r="S616" s="7">
        <f>56976+28177+8826</f>
        <v>93979</v>
      </c>
      <c r="T616" s="6"/>
      <c r="U616" s="243">
        <v>2.402125115017657E-2</v>
      </c>
      <c r="W616">
        <f t="shared" si="97"/>
        <v>606</v>
      </c>
      <c r="Y616" s="56"/>
    </row>
    <row r="617" spans="3:25" x14ac:dyDescent="0.3">
      <c r="C617" s="158">
        <f t="shared" si="93"/>
        <v>44516</v>
      </c>
      <c r="E617" s="241">
        <v>2638106</v>
      </c>
      <c r="F617" s="7"/>
      <c r="G617" s="7">
        <v>1221507</v>
      </c>
      <c r="H617" s="7"/>
      <c r="I617" s="7">
        <v>410473</v>
      </c>
      <c r="J617" s="244"/>
      <c r="K617" s="7">
        <f t="shared" ref="K617:K648" si="105">SUM(E617:I617)</f>
        <v>4270086</v>
      </c>
      <c r="L617" s="6"/>
      <c r="M617" s="438">
        <f t="shared" ref="M617:M648" si="106">+(K617-K616)/K616</f>
        <v>1.7141400011588684E-3</v>
      </c>
      <c r="N617" s="29"/>
      <c r="O617" s="29"/>
      <c r="P617" s="29"/>
      <c r="Q617" s="332">
        <f t="shared" ref="Q617:Q648" si="107">+K617-K616</f>
        <v>7307</v>
      </c>
      <c r="R617" s="6"/>
      <c r="S617" s="7">
        <f>57020+28200+8826</f>
        <v>94046</v>
      </c>
      <c r="T617" s="6"/>
      <c r="U617" s="243">
        <v>2.402125115017657E-2</v>
      </c>
      <c r="W617">
        <f t="shared" si="97"/>
        <v>607</v>
      </c>
      <c r="Y617" s="56"/>
    </row>
    <row r="618" spans="3:25" x14ac:dyDescent="0.3">
      <c r="C618" s="158">
        <f t="shared" si="93"/>
        <v>44517</v>
      </c>
      <c r="E618" s="241">
        <v>2644177</v>
      </c>
      <c r="F618" s="7"/>
      <c r="G618" s="7">
        <v>1223455</v>
      </c>
      <c r="H618" s="7"/>
      <c r="I618" s="7">
        <v>411311</v>
      </c>
      <c r="J618" s="244"/>
      <c r="K618" s="7">
        <f t="shared" si="105"/>
        <v>4278943</v>
      </c>
      <c r="L618" s="6"/>
      <c r="M618" s="438">
        <f t="shared" si="106"/>
        <v>2.0741971004799437E-3</v>
      </c>
      <c r="N618" s="29"/>
      <c r="O618" s="29"/>
      <c r="P618" s="29"/>
      <c r="Q618" s="332">
        <f t="shared" si="107"/>
        <v>8857</v>
      </c>
      <c r="R618" s="6"/>
      <c r="S618" s="7">
        <f>57053+28220+8834</f>
        <v>94107</v>
      </c>
      <c r="T618" s="6"/>
      <c r="U618" s="243">
        <v>2.402125115017657E-2</v>
      </c>
      <c r="W618">
        <f t="shared" si="97"/>
        <v>608</v>
      </c>
      <c r="Y618" s="56"/>
    </row>
    <row r="619" spans="3:25" x14ac:dyDescent="0.3">
      <c r="C619" s="158">
        <f t="shared" si="93"/>
        <v>44518</v>
      </c>
      <c r="E619" s="241">
        <v>2652280</v>
      </c>
      <c r="F619" s="7"/>
      <c r="G619" s="7">
        <v>1225928</v>
      </c>
      <c r="H619" s="7"/>
      <c r="I619" s="7">
        <v>412058</v>
      </c>
      <c r="J619" s="244"/>
      <c r="K619" s="7">
        <f t="shared" si="105"/>
        <v>4290266</v>
      </c>
      <c r="L619" s="6"/>
      <c r="M619" s="438">
        <f t="shared" si="106"/>
        <v>2.6462142636627783E-3</v>
      </c>
      <c r="N619" s="29"/>
      <c r="O619" s="29"/>
      <c r="P619" s="29"/>
      <c r="Q619" s="332">
        <f t="shared" si="107"/>
        <v>11323</v>
      </c>
      <c r="R619" s="6"/>
      <c r="S619" s="7">
        <f>57097+28230+8834</f>
        <v>94161</v>
      </c>
      <c r="T619" s="6"/>
      <c r="U619" s="243">
        <v>2.402125115017657E-2</v>
      </c>
      <c r="W619">
        <f t="shared" si="97"/>
        <v>609</v>
      </c>
      <c r="Y619" s="56"/>
    </row>
    <row r="620" spans="3:25" x14ac:dyDescent="0.3">
      <c r="C620" s="158">
        <f t="shared" si="93"/>
        <v>44519</v>
      </c>
      <c r="E620" s="241">
        <v>2659870</v>
      </c>
      <c r="F620" s="7"/>
      <c r="G620" s="7">
        <v>1228167</v>
      </c>
      <c r="H620" s="7"/>
      <c r="I620" s="7">
        <v>412918</v>
      </c>
      <c r="J620" s="244"/>
      <c r="K620" s="7">
        <f t="shared" si="105"/>
        <v>4300955</v>
      </c>
      <c r="L620" s="6"/>
      <c r="M620" s="438">
        <f t="shared" si="106"/>
        <v>2.4914539098508113E-3</v>
      </c>
      <c r="N620" s="29"/>
      <c r="O620" s="29"/>
      <c r="P620" s="29"/>
      <c r="Q620" s="332">
        <f t="shared" si="107"/>
        <v>10689</v>
      </c>
      <c r="R620" s="6"/>
      <c r="S620" s="7">
        <f>57141+28243+8850</f>
        <v>94234</v>
      </c>
      <c r="T620" s="6"/>
      <c r="U620" s="243">
        <v>2.402125115017657E-2</v>
      </c>
      <c r="W620">
        <f t="shared" si="97"/>
        <v>610</v>
      </c>
      <c r="Y620" s="56"/>
    </row>
    <row r="621" spans="3:25" x14ac:dyDescent="0.3">
      <c r="C621" s="158">
        <f t="shared" si="93"/>
        <v>44520</v>
      </c>
      <c r="E621" s="241">
        <v>2665759</v>
      </c>
      <c r="F621" s="7"/>
      <c r="G621" s="7">
        <v>1230366</v>
      </c>
      <c r="H621" s="7"/>
      <c r="I621" s="7">
        <v>412918</v>
      </c>
      <c r="J621" s="244"/>
      <c r="K621" s="7">
        <f t="shared" si="105"/>
        <v>4309043</v>
      </c>
      <c r="L621" s="6"/>
      <c r="M621" s="438">
        <f t="shared" si="106"/>
        <v>1.8805125838331255E-3</v>
      </c>
      <c r="N621" s="29"/>
      <c r="O621" s="29"/>
      <c r="P621" s="29"/>
      <c r="Q621" s="332">
        <f t="shared" si="107"/>
        <v>8088</v>
      </c>
      <c r="R621" s="6"/>
      <c r="S621" s="7">
        <f>57158+28250+8850</f>
        <v>94258</v>
      </c>
      <c r="T621" s="6"/>
      <c r="U621" s="243">
        <v>2.402125115017657E-2</v>
      </c>
      <c r="W621">
        <f t="shared" si="97"/>
        <v>611</v>
      </c>
      <c r="Y621" s="56"/>
    </row>
    <row r="622" spans="3:25" x14ac:dyDescent="0.3">
      <c r="C622" s="347">
        <f t="shared" si="93"/>
        <v>44521</v>
      </c>
      <c r="E622" s="241">
        <v>2675150</v>
      </c>
      <c r="F622" s="7"/>
      <c r="G622" s="7">
        <v>1233511</v>
      </c>
      <c r="H622" s="7"/>
      <c r="I622" s="7">
        <v>412918</v>
      </c>
      <c r="J622" s="244"/>
      <c r="K622" s="7">
        <f t="shared" si="105"/>
        <v>4321579</v>
      </c>
      <c r="L622" s="6"/>
      <c r="M622" s="438">
        <f t="shared" si="106"/>
        <v>2.9092306574800947E-3</v>
      </c>
      <c r="N622" s="29"/>
      <c r="O622" s="29"/>
      <c r="P622" s="29"/>
      <c r="Q622" s="332">
        <f t="shared" si="107"/>
        <v>12536</v>
      </c>
      <c r="R622" s="6"/>
      <c r="S622" s="7">
        <f>57190+28265+8850</f>
        <v>94305</v>
      </c>
      <c r="T622" s="6"/>
      <c r="U622" s="243">
        <v>2.402125115017657E-2</v>
      </c>
      <c r="W622">
        <f t="shared" si="97"/>
        <v>612</v>
      </c>
      <c r="Y622" s="56"/>
    </row>
    <row r="623" spans="3:25" x14ac:dyDescent="0.3">
      <c r="C623" s="158">
        <f>+C622+1</f>
        <v>44522</v>
      </c>
      <c r="E623" s="241">
        <v>2679503</v>
      </c>
      <c r="F623" s="7"/>
      <c r="G623" s="7">
        <v>1233611</v>
      </c>
      <c r="H623" s="7"/>
      <c r="I623" s="7">
        <v>414978</v>
      </c>
      <c r="J623" s="244"/>
      <c r="K623" s="7">
        <f t="shared" si="105"/>
        <v>4328092</v>
      </c>
      <c r="L623" s="6"/>
      <c r="M623" s="438">
        <f t="shared" si="106"/>
        <v>1.5070880342578489E-3</v>
      </c>
      <c r="N623" s="29"/>
      <c r="O623" s="29"/>
      <c r="P623" s="29"/>
      <c r="Q623" s="332">
        <f t="shared" si="107"/>
        <v>6513</v>
      </c>
      <c r="R623" s="6"/>
      <c r="S623" s="7">
        <f>57215+28265+8853</f>
        <v>94333</v>
      </c>
      <c r="T623" s="6"/>
      <c r="U623" s="243">
        <v>2.402125115017657E-2</v>
      </c>
      <c r="W623">
        <f t="shared" si="97"/>
        <v>613</v>
      </c>
      <c r="Y623" s="56"/>
    </row>
    <row r="624" spans="3:25" x14ac:dyDescent="0.3">
      <c r="C624" s="158">
        <f t="shared" ref="C624:C650" si="108">+C623+1</f>
        <v>44523</v>
      </c>
      <c r="E624" s="241">
        <v>2685067</v>
      </c>
      <c r="F624" s="7"/>
      <c r="G624" s="7">
        <v>1236151</v>
      </c>
      <c r="H624" s="7"/>
      <c r="I624" s="7">
        <v>415732</v>
      </c>
      <c r="J624" s="244"/>
      <c r="K624" s="7">
        <f t="shared" si="105"/>
        <v>4336950</v>
      </c>
      <c r="L624" s="6"/>
      <c r="M624" s="438">
        <f t="shared" si="106"/>
        <v>2.0466293230365713E-3</v>
      </c>
      <c r="N624" s="29"/>
      <c r="O624" s="29"/>
      <c r="P624" s="29"/>
      <c r="Q624" s="332">
        <f t="shared" si="107"/>
        <v>8858</v>
      </c>
      <c r="R624" s="6"/>
      <c r="S624" s="7">
        <f>57250+28295+8853</f>
        <v>94398</v>
      </c>
      <c r="T624" s="6"/>
      <c r="U624" s="243">
        <v>2.402125115017657E-2</v>
      </c>
      <c r="W624">
        <f t="shared" si="97"/>
        <v>614</v>
      </c>
      <c r="Y624" s="56"/>
    </row>
    <row r="625" spans="3:25" x14ac:dyDescent="0.3">
      <c r="C625" s="158">
        <f t="shared" si="108"/>
        <v>44524</v>
      </c>
      <c r="E625" s="241">
        <v>2692142</v>
      </c>
      <c r="F625" s="7"/>
      <c r="G625" s="7">
        <v>1238359</v>
      </c>
      <c r="H625" s="7"/>
      <c r="I625" s="7">
        <v>416573</v>
      </c>
      <c r="J625" s="244"/>
      <c r="K625" s="7">
        <f t="shared" si="105"/>
        <v>4347074</v>
      </c>
      <c r="L625" s="6"/>
      <c r="M625" s="438">
        <f t="shared" si="106"/>
        <v>2.3343594000391982E-3</v>
      </c>
      <c r="N625" s="29"/>
      <c r="O625" s="29"/>
      <c r="P625" s="29"/>
      <c r="Q625" s="332">
        <f t="shared" si="107"/>
        <v>10124</v>
      </c>
      <c r="R625" s="6"/>
      <c r="S625" s="7">
        <f>57250+28295+8853</f>
        <v>94398</v>
      </c>
      <c r="T625" s="6"/>
      <c r="U625" s="243">
        <v>2.402125115017657E-2</v>
      </c>
      <c r="W625">
        <f t="shared" si="97"/>
        <v>615</v>
      </c>
      <c r="Y625" s="56"/>
    </row>
    <row r="626" spans="3:25" x14ac:dyDescent="0.3">
      <c r="C626" s="158">
        <f t="shared" si="108"/>
        <v>44525</v>
      </c>
      <c r="E626" s="241">
        <v>2701841</v>
      </c>
      <c r="F626" s="7"/>
      <c r="G626" s="7">
        <v>1243354</v>
      </c>
      <c r="H626" s="7"/>
      <c r="I626" s="7">
        <v>416573</v>
      </c>
      <c r="J626" s="244"/>
      <c r="K626" s="7">
        <f t="shared" si="105"/>
        <v>4361768</v>
      </c>
      <c r="L626" s="6"/>
      <c r="M626" s="438">
        <f t="shared" si="106"/>
        <v>3.3802047078103571E-3</v>
      </c>
      <c r="N626" s="29"/>
      <c r="O626" s="29"/>
      <c r="P626" s="29"/>
      <c r="Q626" s="332">
        <f t="shared" si="107"/>
        <v>14694</v>
      </c>
      <c r="R626" s="6"/>
      <c r="S626" s="7">
        <f>57343+28326+8865</f>
        <v>94534</v>
      </c>
      <c r="T626" s="6"/>
      <c r="U626" s="243">
        <v>2.402125115017657E-2</v>
      </c>
      <c r="W626">
        <f t="shared" si="97"/>
        <v>616</v>
      </c>
      <c r="Y626" s="56"/>
    </row>
    <row r="627" spans="3:25" x14ac:dyDescent="0.3">
      <c r="C627" s="158">
        <f t="shared" si="108"/>
        <v>44526</v>
      </c>
      <c r="E627" s="241">
        <v>2707049</v>
      </c>
      <c r="F627" s="7"/>
      <c r="G627" s="7">
        <v>1243354</v>
      </c>
      <c r="H627" s="7"/>
      <c r="I627" s="7">
        <v>418473</v>
      </c>
      <c r="J627" s="244"/>
      <c r="K627" s="7">
        <f t="shared" si="105"/>
        <v>4368876</v>
      </c>
      <c r="L627" s="6"/>
      <c r="M627" s="438">
        <f t="shared" si="106"/>
        <v>1.6296144132379347E-3</v>
      </c>
      <c r="N627" s="29"/>
      <c r="O627" s="29"/>
      <c r="P627" s="29"/>
      <c r="Q627" s="332">
        <f t="shared" si="107"/>
        <v>7108</v>
      </c>
      <c r="R627" s="6"/>
      <c r="S627" s="7">
        <f>57343+28326+8865</f>
        <v>94534</v>
      </c>
      <c r="T627" s="6"/>
      <c r="U627" s="243">
        <v>2.402125115017657E-2</v>
      </c>
      <c r="W627">
        <f t="shared" si="97"/>
        <v>617</v>
      </c>
      <c r="Y627" s="56"/>
    </row>
    <row r="628" spans="3:25" x14ac:dyDescent="0.3">
      <c r="C628" s="158">
        <f t="shared" si="108"/>
        <v>44527</v>
      </c>
      <c r="E628" s="241">
        <v>2710507</v>
      </c>
      <c r="F628" s="7"/>
      <c r="G628" s="7">
        <v>1245344</v>
      </c>
      <c r="H628" s="7"/>
      <c r="I628" s="7">
        <v>418473</v>
      </c>
      <c r="J628" s="244"/>
      <c r="K628" s="7">
        <f t="shared" si="105"/>
        <v>4374324</v>
      </c>
      <c r="L628" s="6"/>
      <c r="M628" s="438">
        <f t="shared" si="106"/>
        <v>1.2470026615541388E-3</v>
      </c>
      <c r="N628" s="29"/>
      <c r="O628" s="29"/>
      <c r="P628" s="29"/>
      <c r="Q628" s="332">
        <f t="shared" si="107"/>
        <v>5448</v>
      </c>
      <c r="R628" s="6"/>
      <c r="S628" s="7">
        <f>57401+28335+8865</f>
        <v>94601</v>
      </c>
      <c r="T628" s="6"/>
      <c r="U628" s="243">
        <v>2.402125115017657E-2</v>
      </c>
      <c r="W628">
        <f t="shared" si="97"/>
        <v>618</v>
      </c>
      <c r="Y628" s="56"/>
    </row>
    <row r="629" spans="3:25" x14ac:dyDescent="0.3">
      <c r="C629" s="347">
        <f t="shared" si="108"/>
        <v>44528</v>
      </c>
      <c r="E629" s="241">
        <v>2715335</v>
      </c>
      <c r="F629" s="7"/>
      <c r="G629" s="7">
        <v>1247213</v>
      </c>
      <c r="H629" s="7"/>
      <c r="I629" s="7">
        <v>418473</v>
      </c>
      <c r="J629" s="244"/>
      <c r="K629" s="7">
        <f t="shared" si="105"/>
        <v>4381021</v>
      </c>
      <c r="L629" s="6"/>
      <c r="M629" s="438">
        <f t="shared" si="106"/>
        <v>1.5309794153336607E-3</v>
      </c>
      <c r="N629" s="29"/>
      <c r="O629" s="29"/>
      <c r="P629" s="29"/>
      <c r="Q629" s="332">
        <f t="shared" si="107"/>
        <v>6697</v>
      </c>
      <c r="R629" s="6"/>
      <c r="S629" s="7">
        <f>57428+28339+8865</f>
        <v>94632</v>
      </c>
      <c r="T629" s="6"/>
      <c r="U629" s="243">
        <v>2.402125115017657E-2</v>
      </c>
      <c r="W629">
        <f t="shared" si="97"/>
        <v>619</v>
      </c>
      <c r="Y629" s="56"/>
    </row>
    <row r="630" spans="3:25" x14ac:dyDescent="0.3">
      <c r="C630" s="158">
        <f t="shared" si="108"/>
        <v>44529</v>
      </c>
      <c r="E630" s="241">
        <v>2724160</v>
      </c>
      <c r="F630" s="7"/>
      <c r="G630" s="7">
        <v>1252705</v>
      </c>
      <c r="H630" s="7"/>
      <c r="I630" s="7">
        <v>420785</v>
      </c>
      <c r="J630" s="244"/>
      <c r="K630" s="7">
        <f t="shared" si="105"/>
        <v>4397650</v>
      </c>
      <c r="L630" s="6"/>
      <c r="M630" s="438">
        <f t="shared" si="106"/>
        <v>3.7956905479339179E-3</v>
      </c>
      <c r="N630" s="29"/>
      <c r="O630" s="29"/>
      <c r="P630" s="29"/>
      <c r="Q630" s="332">
        <f t="shared" si="107"/>
        <v>16629</v>
      </c>
      <c r="R630" s="6"/>
      <c r="S630" s="7">
        <f>57497+28390+8864</f>
        <v>94751</v>
      </c>
      <c r="T630" s="6"/>
      <c r="U630" s="243">
        <v>2.402125115017657E-2</v>
      </c>
      <c r="W630">
        <f t="shared" si="97"/>
        <v>620</v>
      </c>
      <c r="Y630" s="56"/>
    </row>
    <row r="631" spans="3:25" x14ac:dyDescent="0.3">
      <c r="C631" s="158">
        <f t="shared" si="108"/>
        <v>44530</v>
      </c>
      <c r="E631" s="241">
        <v>2738968</v>
      </c>
      <c r="F631" s="7"/>
      <c r="G631" s="7">
        <v>1255893</v>
      </c>
      <c r="H631" s="7"/>
      <c r="I631" s="7">
        <v>422785</v>
      </c>
      <c r="J631" s="244"/>
      <c r="K631" s="7">
        <f t="shared" si="105"/>
        <v>4417646</v>
      </c>
      <c r="L631" s="6"/>
      <c r="M631" s="438">
        <f t="shared" si="106"/>
        <v>4.546973951997089E-3</v>
      </c>
      <c r="N631" s="29"/>
      <c r="O631" s="29"/>
      <c r="P631" s="29"/>
      <c r="Q631" s="332">
        <f t="shared" si="107"/>
        <v>19996</v>
      </c>
      <c r="R631" s="6"/>
      <c r="S631" s="7">
        <f>57593+28409+8909</f>
        <v>94911</v>
      </c>
      <c r="T631" s="6"/>
      <c r="U631" s="243">
        <v>2.402125115017657E-2</v>
      </c>
      <c r="W631">
        <f t="shared" si="97"/>
        <v>621</v>
      </c>
      <c r="Y631" s="56"/>
    </row>
    <row r="632" spans="3:25" x14ac:dyDescent="0.3">
      <c r="C632" s="158">
        <f t="shared" si="108"/>
        <v>44531</v>
      </c>
      <c r="E632" s="241">
        <v>2750327</v>
      </c>
      <c r="F632" s="7"/>
      <c r="G632" s="7">
        <v>1260355</v>
      </c>
      <c r="H632" s="7"/>
      <c r="I632" s="7">
        <v>424412</v>
      </c>
      <c r="J632" s="244"/>
      <c r="K632" s="7">
        <f t="shared" si="105"/>
        <v>4435094</v>
      </c>
      <c r="L632" s="6"/>
      <c r="M632" s="438">
        <f t="shared" si="106"/>
        <v>3.9496147948477542E-3</v>
      </c>
      <c r="N632" s="29"/>
      <c r="O632" s="29"/>
      <c r="P632" s="29"/>
      <c r="Q632" s="332">
        <f t="shared" si="107"/>
        <v>17448</v>
      </c>
      <c r="R632" s="6"/>
      <c r="S632" s="7">
        <f>57643+28420+8909</f>
        <v>94972</v>
      </c>
      <c r="T632" s="6"/>
      <c r="U632" s="243">
        <v>2.402125115017657E-2</v>
      </c>
      <c r="W632">
        <f t="shared" si="97"/>
        <v>622</v>
      </c>
      <c r="Y632" s="56"/>
    </row>
    <row r="633" spans="3:25" x14ac:dyDescent="0.3">
      <c r="C633" s="158">
        <f t="shared" si="108"/>
        <v>44532</v>
      </c>
      <c r="E633" s="241">
        <v>2752299</v>
      </c>
      <c r="F633" s="7"/>
      <c r="G633" s="7">
        <v>1264818</v>
      </c>
      <c r="H633" s="7"/>
      <c r="I633" s="7">
        <v>425275</v>
      </c>
      <c r="J633" s="244"/>
      <c r="K633" s="7">
        <f t="shared" si="105"/>
        <v>4442392</v>
      </c>
      <c r="L633" s="6"/>
      <c r="M633" s="438">
        <f t="shared" si="106"/>
        <v>1.6455119102323423E-3</v>
      </c>
      <c r="N633" s="29"/>
      <c r="O633" s="29"/>
      <c r="P633" s="29"/>
      <c r="Q633" s="332">
        <f t="shared" si="107"/>
        <v>7298</v>
      </c>
      <c r="R633" s="6"/>
      <c r="S633" s="7">
        <f>57654+28434+8925</f>
        <v>95013</v>
      </c>
      <c r="T633" s="6"/>
      <c r="U633" s="243">
        <v>2.402125115017657E-2</v>
      </c>
      <c r="W633">
        <f t="shared" si="97"/>
        <v>623</v>
      </c>
      <c r="Y633" s="56"/>
    </row>
    <row r="634" spans="3:25" x14ac:dyDescent="0.3">
      <c r="C634" s="158">
        <f t="shared" si="108"/>
        <v>44533</v>
      </c>
      <c r="E634" s="241">
        <v>2761545</v>
      </c>
      <c r="F634" s="7"/>
      <c r="G634" s="7">
        <v>1264818</v>
      </c>
      <c r="H634" s="7"/>
      <c r="I634" s="7">
        <v>425275</v>
      </c>
      <c r="J634" s="244"/>
      <c r="K634" s="7">
        <f t="shared" si="105"/>
        <v>4451638</v>
      </c>
      <c r="L634" s="6"/>
      <c r="M634" s="438">
        <f t="shared" si="106"/>
        <v>2.0813111494888338E-3</v>
      </c>
      <c r="N634" s="29"/>
      <c r="O634" s="29"/>
      <c r="P634" s="29"/>
      <c r="Q634" s="332">
        <f t="shared" si="107"/>
        <v>9246</v>
      </c>
      <c r="R634" s="6"/>
      <c r="S634" s="7">
        <f>57695+28434+8925</f>
        <v>95054</v>
      </c>
      <c r="T634" s="6"/>
      <c r="U634" s="243">
        <v>2.402125115017657E-2</v>
      </c>
      <c r="W634">
        <f t="shared" si="97"/>
        <v>624</v>
      </c>
      <c r="Y634" s="56"/>
    </row>
    <row r="635" spans="3:25" x14ac:dyDescent="0.3">
      <c r="C635" s="158">
        <f t="shared" si="108"/>
        <v>44534</v>
      </c>
      <c r="E635" s="241">
        <v>2769624</v>
      </c>
      <c r="F635" s="7"/>
      <c r="G635" s="7">
        <v>1272728</v>
      </c>
      <c r="H635" s="7"/>
      <c r="I635" s="7">
        <v>425275</v>
      </c>
      <c r="J635" s="244"/>
      <c r="K635" s="7">
        <f t="shared" si="105"/>
        <v>4467627</v>
      </c>
      <c r="L635" s="6"/>
      <c r="M635" s="438">
        <f t="shared" si="106"/>
        <v>3.5917116351329554E-3</v>
      </c>
      <c r="N635" s="29"/>
      <c r="O635" s="29"/>
      <c r="P635" s="29"/>
      <c r="Q635" s="332">
        <f t="shared" si="107"/>
        <v>15989</v>
      </c>
      <c r="R635" s="6"/>
      <c r="S635" s="7">
        <f>57725+28457+8925</f>
        <v>95107</v>
      </c>
      <c r="T635" s="6"/>
      <c r="U635" s="243">
        <v>2.402125115017657E-2</v>
      </c>
      <c r="W635">
        <f t="shared" si="97"/>
        <v>625</v>
      </c>
      <c r="Y635" s="56"/>
    </row>
    <row r="636" spans="3:25" x14ac:dyDescent="0.3">
      <c r="C636" s="347">
        <f t="shared" si="108"/>
        <v>44535</v>
      </c>
      <c r="E636" s="241">
        <v>2777942</v>
      </c>
      <c r="F636" s="7"/>
      <c r="G636" s="7">
        <v>1272728</v>
      </c>
      <c r="H636" s="7"/>
      <c r="I636" s="7">
        <v>425276</v>
      </c>
      <c r="J636" s="244"/>
      <c r="K636" s="7">
        <f t="shared" si="105"/>
        <v>4475946</v>
      </c>
      <c r="L636" s="6"/>
      <c r="M636" s="438">
        <f t="shared" si="106"/>
        <v>1.862062343163384E-3</v>
      </c>
      <c r="N636" s="29"/>
      <c r="O636" s="29"/>
      <c r="P636" s="29"/>
      <c r="Q636" s="332">
        <f t="shared" si="107"/>
        <v>8319</v>
      </c>
      <c r="R636" s="6"/>
      <c r="S636" s="7">
        <f>57757+28457+8925</f>
        <v>95139</v>
      </c>
      <c r="T636" s="6"/>
      <c r="U636" s="243">
        <v>2.402125115017657E-2</v>
      </c>
      <c r="W636">
        <f t="shared" si="97"/>
        <v>626</v>
      </c>
      <c r="Y636" s="56"/>
    </row>
    <row r="637" spans="3:25" x14ac:dyDescent="0.3">
      <c r="C637" s="158">
        <f t="shared" si="108"/>
        <v>44536</v>
      </c>
      <c r="E637" s="241">
        <v>2790577</v>
      </c>
      <c r="F637" s="7"/>
      <c r="G637" s="7">
        <v>1279667</v>
      </c>
      <c r="H637" s="7"/>
      <c r="I637" s="7">
        <v>432675</v>
      </c>
      <c r="J637" s="244"/>
      <c r="K637" s="7">
        <f t="shared" si="105"/>
        <v>4502919</v>
      </c>
      <c r="L637" s="6"/>
      <c r="M637" s="438">
        <f t="shared" si="106"/>
        <v>6.0262121124785685E-3</v>
      </c>
      <c r="N637" s="29"/>
      <c r="O637" s="29"/>
      <c r="P637" s="29"/>
      <c r="Q637" s="332">
        <f t="shared" si="107"/>
        <v>26973</v>
      </c>
      <c r="R637" s="6"/>
      <c r="S637" s="7">
        <f>57839+28494+8945</f>
        <v>95278</v>
      </c>
      <c r="T637" s="6"/>
      <c r="U637" s="243">
        <v>2.402125115017657E-2</v>
      </c>
      <c r="W637">
        <f t="shared" si="97"/>
        <v>627</v>
      </c>
      <c r="Y637" s="56"/>
    </row>
    <row r="638" spans="3:25" x14ac:dyDescent="0.3">
      <c r="C638" s="158">
        <f t="shared" si="108"/>
        <v>44537</v>
      </c>
      <c r="E638" s="241">
        <v>2796990</v>
      </c>
      <c r="F638" s="7"/>
      <c r="G638" s="7">
        <v>1279667</v>
      </c>
      <c r="H638" s="7"/>
      <c r="I638" s="7">
        <v>432675</v>
      </c>
      <c r="J638" s="244"/>
      <c r="K638" s="7">
        <f t="shared" si="105"/>
        <v>4509332</v>
      </c>
      <c r="L638" s="6"/>
      <c r="M638" s="438">
        <f t="shared" si="106"/>
        <v>1.424187288290107E-3</v>
      </c>
      <c r="N638" s="29"/>
      <c r="O638" s="29"/>
      <c r="P638" s="29"/>
      <c r="Q638" s="332">
        <f t="shared" si="107"/>
        <v>6413</v>
      </c>
      <c r="R638" s="6"/>
      <c r="S638" s="7">
        <f>57880+28494+8945</f>
        <v>95319</v>
      </c>
      <c r="T638" s="6"/>
      <c r="U638" s="243">
        <v>2.402125115017657E-2</v>
      </c>
      <c r="W638">
        <f t="shared" si="97"/>
        <v>628</v>
      </c>
      <c r="Y638" s="56"/>
    </row>
    <row r="639" spans="3:25" x14ac:dyDescent="0.3">
      <c r="C639" s="158">
        <f t="shared" si="108"/>
        <v>44538</v>
      </c>
      <c r="E639" s="241">
        <v>2806456</v>
      </c>
      <c r="F639" s="7"/>
      <c r="G639" s="7">
        <v>1283925</v>
      </c>
      <c r="H639" s="7"/>
      <c r="I639" s="7">
        <v>433464</v>
      </c>
      <c r="J639" s="244"/>
      <c r="K639" s="7">
        <f t="shared" si="105"/>
        <v>4523845</v>
      </c>
      <c r="L639" s="6"/>
      <c r="M639" s="438">
        <f t="shared" si="106"/>
        <v>3.2184367884201029E-3</v>
      </c>
      <c r="N639" s="29"/>
      <c r="O639" s="29"/>
      <c r="P639" s="29"/>
      <c r="Q639" s="332">
        <f t="shared" si="107"/>
        <v>14513</v>
      </c>
      <c r="R639" s="6"/>
      <c r="S639" s="7">
        <f>57934+28518+8946</f>
        <v>95398</v>
      </c>
      <c r="T639" s="6"/>
      <c r="U639" s="243">
        <v>2.402125115017657E-2</v>
      </c>
      <c r="W639">
        <f t="shared" si="97"/>
        <v>629</v>
      </c>
      <c r="Y639" s="56"/>
    </row>
    <row r="640" spans="3:25" x14ac:dyDescent="0.3">
      <c r="C640" s="158">
        <f t="shared" si="108"/>
        <v>44539</v>
      </c>
      <c r="E640" s="241">
        <v>2818176</v>
      </c>
      <c r="F640" s="7"/>
      <c r="G640" s="7">
        <v>1289542</v>
      </c>
      <c r="H640" s="7"/>
      <c r="I640" s="7">
        <v>436143</v>
      </c>
      <c r="J640" s="244"/>
      <c r="K640" s="7">
        <f t="shared" si="105"/>
        <v>4543861</v>
      </c>
      <c r="L640" s="6"/>
      <c r="M640" s="438">
        <f t="shared" si="106"/>
        <v>4.4245547758599161E-3</v>
      </c>
      <c r="N640" s="29"/>
      <c r="O640" s="29"/>
      <c r="P640" s="29"/>
      <c r="Q640" s="332">
        <f t="shared" si="107"/>
        <v>20016</v>
      </c>
      <c r="R640" s="6"/>
      <c r="S640" s="7">
        <f>57934+28518+8946</f>
        <v>95398</v>
      </c>
      <c r="T640" s="6"/>
      <c r="U640" s="243">
        <v>2.402125115017657E-2</v>
      </c>
      <c r="W640">
        <f t="shared" si="97"/>
        <v>630</v>
      </c>
      <c r="Y640" s="56"/>
    </row>
    <row r="641" spans="3:25" x14ac:dyDescent="0.3">
      <c r="C641" s="158">
        <f t="shared" si="108"/>
        <v>44540</v>
      </c>
      <c r="E641" s="241">
        <v>2829502</v>
      </c>
      <c r="F641" s="7"/>
      <c r="G641" s="7">
        <v>1295005</v>
      </c>
      <c r="H641" s="7"/>
      <c r="I641" s="7">
        <v>439423</v>
      </c>
      <c r="J641" s="244"/>
      <c r="K641" s="7">
        <f t="shared" si="105"/>
        <v>4563930</v>
      </c>
      <c r="L641" s="6"/>
      <c r="M641" s="438">
        <f t="shared" si="106"/>
        <v>4.4167284166483087E-3</v>
      </c>
      <c r="N641" s="29"/>
      <c r="O641" s="29"/>
      <c r="P641" s="29"/>
      <c r="Q641" s="332">
        <f t="shared" si="107"/>
        <v>20069</v>
      </c>
      <c r="R641" s="6"/>
      <c r="S641" s="7">
        <f>58072+28543+8972</f>
        <v>95587</v>
      </c>
      <c r="T641" s="6"/>
      <c r="U641" s="243">
        <v>2.402125115017657E-2</v>
      </c>
      <c r="W641">
        <f t="shared" si="97"/>
        <v>631</v>
      </c>
      <c r="Y641" s="56"/>
    </row>
    <row r="642" spans="3:25" x14ac:dyDescent="0.3">
      <c r="C642" s="158">
        <f t="shared" si="108"/>
        <v>44541</v>
      </c>
      <c r="E642" s="241">
        <v>2839326</v>
      </c>
      <c r="F642" s="7"/>
      <c r="G642" s="7">
        <v>1299601</v>
      </c>
      <c r="H642" s="7"/>
      <c r="I642" s="7">
        <v>439423</v>
      </c>
      <c r="J642" s="244"/>
      <c r="K642" s="7">
        <f t="shared" si="105"/>
        <v>4578350</v>
      </c>
      <c r="L642" s="6"/>
      <c r="M642" s="438">
        <f t="shared" si="106"/>
        <v>3.1595576619273301E-3</v>
      </c>
      <c r="N642" s="29"/>
      <c r="O642" s="29"/>
      <c r="P642" s="29"/>
      <c r="Q642" s="332">
        <f t="shared" si="107"/>
        <v>14420</v>
      </c>
      <c r="R642" s="6"/>
      <c r="S642" s="7">
        <f>58122+28568+8972</f>
        <v>95662</v>
      </c>
      <c r="T642" s="6"/>
      <c r="U642" s="243">
        <v>2.402125115017657E-2</v>
      </c>
      <c r="W642">
        <f t="shared" si="97"/>
        <v>632</v>
      </c>
      <c r="Y642" s="56"/>
    </row>
    <row r="643" spans="3:25" x14ac:dyDescent="0.3">
      <c r="C643" s="347">
        <f t="shared" si="108"/>
        <v>44542</v>
      </c>
      <c r="E643" s="241">
        <v>2846533</v>
      </c>
      <c r="F643" s="7"/>
      <c r="G643" s="7">
        <v>1303443</v>
      </c>
      <c r="H643" s="7"/>
      <c r="I643" s="7">
        <v>439423</v>
      </c>
      <c r="J643" s="244"/>
      <c r="K643" s="7">
        <f t="shared" si="105"/>
        <v>4589399</v>
      </c>
      <c r="L643" s="6"/>
      <c r="M643" s="438">
        <f t="shared" si="106"/>
        <v>2.4133148404993066E-3</v>
      </c>
      <c r="N643" s="29"/>
      <c r="O643" s="29"/>
      <c r="P643" s="29"/>
      <c r="Q643" s="332">
        <f t="shared" si="107"/>
        <v>11049</v>
      </c>
      <c r="R643" s="6"/>
      <c r="S643" s="7">
        <f>58168+28576+8972</f>
        <v>95716</v>
      </c>
      <c r="T643" s="6"/>
      <c r="U643" s="243">
        <v>2.402125115017657E-2</v>
      </c>
      <c r="W643">
        <f t="shared" si="97"/>
        <v>633</v>
      </c>
      <c r="Y643" s="56"/>
    </row>
    <row r="644" spans="3:25" x14ac:dyDescent="0.3">
      <c r="C644" s="158">
        <f t="shared" si="108"/>
        <v>44543</v>
      </c>
      <c r="E644" s="241">
        <v>2860036</v>
      </c>
      <c r="F644" s="7"/>
      <c r="G644" s="7">
        <v>1303443</v>
      </c>
      <c r="H644" s="7"/>
      <c r="I644" s="7">
        <v>447316</v>
      </c>
      <c r="J644" s="244"/>
      <c r="K644" s="7">
        <f t="shared" si="105"/>
        <v>4610795</v>
      </c>
      <c r="L644" s="6"/>
      <c r="M644" s="438">
        <f t="shared" si="106"/>
        <v>4.6620483422774965E-3</v>
      </c>
      <c r="N644" s="29"/>
      <c r="O644" s="29"/>
      <c r="P644" s="29"/>
      <c r="Q644" s="332">
        <f t="shared" si="107"/>
        <v>21396</v>
      </c>
      <c r="R644" s="6"/>
      <c r="S644" s="7">
        <f>58222+28589+8972</f>
        <v>95783</v>
      </c>
      <c r="T644" s="6"/>
      <c r="U644" s="243">
        <v>2.402125115017657E-2</v>
      </c>
      <c r="W644">
        <f t="shared" si="97"/>
        <v>634</v>
      </c>
      <c r="Y644" s="56"/>
    </row>
    <row r="645" spans="3:25" x14ac:dyDescent="0.3">
      <c r="C645" s="158">
        <f t="shared" si="108"/>
        <v>44544</v>
      </c>
      <c r="E645" s="241">
        <v>2868885</v>
      </c>
      <c r="F645" s="7"/>
      <c r="G645" s="7">
        <v>1311119</v>
      </c>
      <c r="H645" s="7"/>
      <c r="I645" s="7">
        <v>450315</v>
      </c>
      <c r="J645" s="244"/>
      <c r="K645" s="7">
        <f t="shared" si="105"/>
        <v>4630319</v>
      </c>
      <c r="L645" s="6"/>
      <c r="M645" s="438">
        <f t="shared" si="106"/>
        <v>4.2344107686418499E-3</v>
      </c>
      <c r="N645" s="29"/>
      <c r="O645" s="29"/>
      <c r="P645" s="29"/>
      <c r="Q645" s="332">
        <f t="shared" si="107"/>
        <v>19524</v>
      </c>
      <c r="R645" s="6"/>
      <c r="S645" s="7">
        <f>58287+28613+9000</f>
        <v>95900</v>
      </c>
      <c r="T645" s="6"/>
      <c r="U645" s="243">
        <v>2.402125115017657E-2</v>
      </c>
      <c r="W645">
        <f t="shared" si="97"/>
        <v>635</v>
      </c>
      <c r="Y645" s="56"/>
    </row>
    <row r="646" spans="3:25" x14ac:dyDescent="0.3">
      <c r="C646" s="158">
        <f t="shared" si="108"/>
        <v>44545</v>
      </c>
      <c r="E646" s="241">
        <v>2881565</v>
      </c>
      <c r="F646" s="7"/>
      <c r="G646" s="7">
        <v>1316108</v>
      </c>
      <c r="H646" s="7"/>
      <c r="I646" s="7">
        <v>452038</v>
      </c>
      <c r="J646" s="244"/>
      <c r="K646" s="7">
        <f t="shared" si="105"/>
        <v>4649711</v>
      </c>
      <c r="L646" s="6"/>
      <c r="M646" s="438">
        <f t="shared" si="106"/>
        <v>4.1880483828436012E-3</v>
      </c>
      <c r="N646" s="29"/>
      <c r="O646" s="29"/>
      <c r="P646" s="29"/>
      <c r="Q646" s="332">
        <f t="shared" si="107"/>
        <v>19392</v>
      </c>
      <c r="R646" s="6"/>
      <c r="S646" s="7">
        <f>58368+28643+9002</f>
        <v>96013</v>
      </c>
      <c r="T646" s="6"/>
      <c r="U646" s="243">
        <v>2.402125115017657E-2</v>
      </c>
      <c r="W646">
        <f t="shared" si="97"/>
        <v>636</v>
      </c>
      <c r="Y646" s="56"/>
    </row>
    <row r="647" spans="3:25" x14ac:dyDescent="0.3">
      <c r="C647" s="158">
        <f t="shared" si="108"/>
        <v>44546</v>
      </c>
      <c r="E647" s="241">
        <v>2899469</v>
      </c>
      <c r="F647" s="7"/>
      <c r="G647" s="7">
        <v>1323331</v>
      </c>
      <c r="H647" s="7"/>
      <c r="I647" s="7">
        <v>454123</v>
      </c>
      <c r="J647" s="244"/>
      <c r="K647" s="7">
        <f t="shared" si="105"/>
        <v>4676923</v>
      </c>
      <c r="L647" s="6"/>
      <c r="M647" s="438">
        <f t="shared" si="106"/>
        <v>5.852406740978095E-3</v>
      </c>
      <c r="N647" s="29"/>
      <c r="O647" s="29"/>
      <c r="P647" s="29"/>
      <c r="Q647" s="332">
        <f t="shared" si="107"/>
        <v>27212</v>
      </c>
      <c r="R647" s="6"/>
      <c r="S647" s="7">
        <f>58412+28659+9002</f>
        <v>96073</v>
      </c>
      <c r="T647" s="6"/>
      <c r="U647" s="243">
        <v>2.402125115017657E-2</v>
      </c>
      <c r="W647">
        <f t="shared" si="97"/>
        <v>637</v>
      </c>
      <c r="Y647" s="56"/>
    </row>
    <row r="648" spans="3:25" x14ac:dyDescent="0.3">
      <c r="C648" s="158">
        <f t="shared" si="108"/>
        <v>44547</v>
      </c>
      <c r="E648" s="241">
        <v>2920366</v>
      </c>
      <c r="F648" s="7"/>
      <c r="G648" s="7">
        <v>1330728</v>
      </c>
      <c r="H648" s="7"/>
      <c r="I648" s="7">
        <v>455566</v>
      </c>
      <c r="J648" s="244"/>
      <c r="K648" s="7">
        <f t="shared" si="105"/>
        <v>4706660</v>
      </c>
      <c r="L648" s="6"/>
      <c r="M648" s="438">
        <f t="shared" si="106"/>
        <v>6.3582402361552675E-3</v>
      </c>
      <c r="N648" s="29"/>
      <c r="O648" s="29"/>
      <c r="P648" s="29"/>
      <c r="Q648" s="332">
        <f t="shared" si="107"/>
        <v>29737</v>
      </c>
      <c r="R648" s="6"/>
      <c r="S648" s="7">
        <f>58492+28675+9002</f>
        <v>96169</v>
      </c>
      <c r="T648" s="6"/>
      <c r="U648" s="243">
        <v>2.402125115017657E-2</v>
      </c>
      <c r="W648">
        <f t="shared" si="97"/>
        <v>638</v>
      </c>
      <c r="Y648" s="56"/>
    </row>
    <row r="649" spans="3:25" x14ac:dyDescent="0.3">
      <c r="C649" s="158">
        <f t="shared" si="108"/>
        <v>44548</v>
      </c>
      <c r="E649" s="241">
        <v>2934453</v>
      </c>
      <c r="F649" s="7"/>
      <c r="G649" s="7">
        <v>1338372</v>
      </c>
      <c r="H649" s="7"/>
      <c r="I649" s="7">
        <v>455566</v>
      </c>
      <c r="J649" s="244"/>
      <c r="K649" s="7">
        <f t="shared" ref="K649:K678" si="109">SUM(E649:I649)</f>
        <v>4728391</v>
      </c>
      <c r="L649" s="6"/>
      <c r="M649" s="438">
        <f t="shared" ref="M649:M678" si="110">+(K649-K648)/K648</f>
        <v>4.6170745284341763E-3</v>
      </c>
      <c r="N649" s="29"/>
      <c r="O649" s="29"/>
      <c r="P649" s="29"/>
      <c r="Q649" s="332">
        <f t="shared" ref="Q649:Q678" si="111">+K649-K648</f>
        <v>21731</v>
      </c>
      <c r="R649" s="6"/>
      <c r="S649" s="7">
        <f>58540+28708+9002</f>
        <v>96250</v>
      </c>
      <c r="T649" s="6"/>
      <c r="U649" s="243">
        <v>2.402125115017657E-2</v>
      </c>
      <c r="W649">
        <f t="shared" si="97"/>
        <v>639</v>
      </c>
      <c r="Y649" s="56"/>
    </row>
    <row r="650" spans="3:25" x14ac:dyDescent="0.3">
      <c r="C650" s="347">
        <f t="shared" si="108"/>
        <v>44549</v>
      </c>
      <c r="E650" s="241">
        <v>2960416</v>
      </c>
      <c r="F650" s="7"/>
      <c r="G650" s="7">
        <v>1345717</v>
      </c>
      <c r="H650" s="7"/>
      <c r="I650" s="7">
        <v>455566</v>
      </c>
      <c r="J650" s="244"/>
      <c r="K650" s="7">
        <f t="shared" si="109"/>
        <v>4761699</v>
      </c>
      <c r="L650" s="6"/>
      <c r="M650" s="438">
        <f t="shared" si="110"/>
        <v>7.0442567038132E-3</v>
      </c>
      <c r="N650" s="29"/>
      <c r="O650" s="29"/>
      <c r="P650" s="29"/>
      <c r="Q650" s="332">
        <f t="shared" si="111"/>
        <v>33308</v>
      </c>
      <c r="R650" s="6"/>
      <c r="S650" s="7">
        <f>58600+28714+9002</f>
        <v>96316</v>
      </c>
      <c r="T650" s="6"/>
      <c r="U650" s="243">
        <v>2.402125115017657E-2</v>
      </c>
      <c r="W650">
        <f t="shared" si="97"/>
        <v>640</v>
      </c>
      <c r="Y650" s="56"/>
    </row>
    <row r="651" spans="3:25" x14ac:dyDescent="0.3">
      <c r="C651" s="158">
        <f>+C650+1</f>
        <v>44550</v>
      </c>
      <c r="E651" s="241">
        <v>2982994</v>
      </c>
      <c r="F651" s="7"/>
      <c r="G651" s="7">
        <v>1352812</v>
      </c>
      <c r="H651" s="7"/>
      <c r="I651" s="7">
        <v>461775</v>
      </c>
      <c r="J651" s="244"/>
      <c r="K651" s="7">
        <f t="shared" si="109"/>
        <v>4797581</v>
      </c>
      <c r="L651" s="6"/>
      <c r="M651" s="438">
        <f t="shared" si="110"/>
        <v>7.5355456109258484E-3</v>
      </c>
      <c r="N651" s="29"/>
      <c r="O651" s="29"/>
      <c r="P651" s="29"/>
      <c r="Q651" s="332">
        <f t="shared" si="111"/>
        <v>35882</v>
      </c>
      <c r="R651" s="6"/>
      <c r="S651" s="7">
        <f>58649+28730+9042</f>
        <v>96421</v>
      </c>
      <c r="T651" s="6"/>
      <c r="U651" s="243">
        <v>2.402125115017657E-2</v>
      </c>
      <c r="W651">
        <f t="shared" si="97"/>
        <v>641</v>
      </c>
      <c r="Y651" s="56"/>
    </row>
    <row r="652" spans="3:25" x14ac:dyDescent="0.3">
      <c r="C652" s="158">
        <f t="shared" ref="C652:C662" si="112">+C651+1</f>
        <v>44551</v>
      </c>
      <c r="E652" s="241">
        <v>3010000</v>
      </c>
      <c r="F652" s="7"/>
      <c r="G652" s="7">
        <v>1363000</v>
      </c>
      <c r="H652" s="7"/>
      <c r="I652" s="7">
        <v>465000</v>
      </c>
      <c r="J652" s="244"/>
      <c r="K652" s="7">
        <f t="shared" si="109"/>
        <v>4838000</v>
      </c>
      <c r="L652" s="6"/>
      <c r="M652" s="438">
        <f t="shared" si="110"/>
        <v>8.4248707838387726E-3</v>
      </c>
      <c r="N652" s="29"/>
      <c r="O652" s="29"/>
      <c r="P652" s="29"/>
      <c r="Q652" s="332">
        <f t="shared" si="111"/>
        <v>40419</v>
      </c>
      <c r="R652" s="6"/>
      <c r="S652" s="7">
        <f>58649+28730+9042</f>
        <v>96421</v>
      </c>
      <c r="T652" s="6"/>
      <c r="U652" s="243">
        <v>2.402125115017657E-2</v>
      </c>
      <c r="W652">
        <f t="shared" si="97"/>
        <v>642</v>
      </c>
      <c r="Y652" s="56"/>
    </row>
    <row r="653" spans="3:25" x14ac:dyDescent="0.3">
      <c r="C653" s="158">
        <f t="shared" si="112"/>
        <v>44552</v>
      </c>
      <c r="E653" s="241">
        <v>3035474</v>
      </c>
      <c r="F653" s="7"/>
      <c r="G653" s="7">
        <v>1373212</v>
      </c>
      <c r="H653" s="7"/>
      <c r="I653" s="7">
        <v>471141</v>
      </c>
      <c r="J653" s="244"/>
      <c r="K653" s="7">
        <f t="shared" si="109"/>
        <v>4879827</v>
      </c>
      <c r="L653" s="6"/>
      <c r="M653" s="438">
        <f t="shared" si="110"/>
        <v>8.6455146754857385E-3</v>
      </c>
      <c r="N653" s="29"/>
      <c r="O653" s="29"/>
      <c r="P653" s="29"/>
      <c r="Q653" s="332">
        <f t="shared" si="111"/>
        <v>41827</v>
      </c>
      <c r="R653" s="6"/>
      <c r="S653" s="7">
        <f>58649+28730+9042</f>
        <v>96421</v>
      </c>
      <c r="T653" s="6"/>
      <c r="U653" s="243">
        <v>2.402125115017657E-2</v>
      </c>
      <c r="W653">
        <f t="shared" si="97"/>
        <v>643</v>
      </c>
      <c r="Y653" s="56"/>
    </row>
    <row r="654" spans="3:25" x14ac:dyDescent="0.3">
      <c r="C654" s="158">
        <f t="shared" si="112"/>
        <v>44553</v>
      </c>
      <c r="E654" s="241">
        <v>3070884</v>
      </c>
      <c r="F654" s="7"/>
      <c r="G654" s="7">
        <v>1391334</v>
      </c>
      <c r="H654" s="7"/>
      <c r="I654" s="7">
        <v>474557</v>
      </c>
      <c r="J654" s="244"/>
      <c r="K654" s="7">
        <f t="shared" si="109"/>
        <v>4936775</v>
      </c>
      <c r="L654" s="6"/>
      <c r="M654" s="438">
        <f t="shared" si="110"/>
        <v>1.16700858452564E-2</v>
      </c>
      <c r="N654" s="29"/>
      <c r="O654" s="29"/>
      <c r="P654" s="29"/>
      <c r="Q654" s="332">
        <f t="shared" si="111"/>
        <v>56948</v>
      </c>
      <c r="R654" s="6"/>
      <c r="S654" s="7">
        <f>58889+28822+9077</f>
        <v>96788</v>
      </c>
      <c r="T654" s="6"/>
      <c r="U654" s="243">
        <v>2.402125115017657E-2</v>
      </c>
      <c r="W654">
        <f t="shared" si="97"/>
        <v>644</v>
      </c>
      <c r="Y654" s="56"/>
    </row>
    <row r="655" spans="3:25" x14ac:dyDescent="0.3">
      <c r="C655" s="158">
        <f t="shared" si="112"/>
        <v>44554</v>
      </c>
      <c r="E655" s="241">
        <v>3102022</v>
      </c>
      <c r="F655" s="7"/>
      <c r="G655" s="7">
        <v>1410275</v>
      </c>
      <c r="H655" s="7"/>
      <c r="I655" s="7">
        <v>474557</v>
      </c>
      <c r="J655" s="244"/>
      <c r="K655" s="7">
        <f t="shared" si="109"/>
        <v>4986854</v>
      </c>
      <c r="L655" s="6"/>
      <c r="M655" s="438">
        <f t="shared" si="110"/>
        <v>1.0144071787756177E-2</v>
      </c>
      <c r="N655" s="29"/>
      <c r="O655" s="29"/>
      <c r="P655" s="29"/>
      <c r="Q655" s="332">
        <f t="shared" si="111"/>
        <v>50079</v>
      </c>
      <c r="R655" s="6"/>
      <c r="S655" s="7">
        <f>58937+28884+9077</f>
        <v>96898</v>
      </c>
      <c r="T655" s="6"/>
      <c r="U655" s="243">
        <v>2.402125115017657E-2</v>
      </c>
      <c r="W655">
        <f t="shared" si="97"/>
        <v>645</v>
      </c>
      <c r="Y655" s="56"/>
    </row>
    <row r="656" spans="3:25" x14ac:dyDescent="0.3">
      <c r="C656" s="158">
        <f t="shared" si="112"/>
        <v>44555</v>
      </c>
      <c r="E656" s="241">
        <v>3102002</v>
      </c>
      <c r="F656" s="7"/>
      <c r="G656" s="7">
        <v>1429756</v>
      </c>
      <c r="H656" s="7"/>
      <c r="I656" s="7">
        <v>474557</v>
      </c>
      <c r="J656" s="244"/>
      <c r="K656" s="7">
        <f t="shared" si="109"/>
        <v>5006315</v>
      </c>
      <c r="L656" s="6"/>
      <c r="M656" s="438">
        <f t="shared" si="110"/>
        <v>3.9024603487489307E-3</v>
      </c>
      <c r="N656" s="29"/>
      <c r="O656" s="29"/>
      <c r="P656" s="29"/>
      <c r="Q656" s="332">
        <f t="shared" si="111"/>
        <v>19461</v>
      </c>
      <c r="R656" s="6"/>
      <c r="S656" s="7">
        <f>58937+28854+9077</f>
        <v>96868</v>
      </c>
      <c r="T656" s="6"/>
      <c r="U656" s="243">
        <v>2.402125115017657E-2</v>
      </c>
      <c r="W656">
        <f t="shared" si="97"/>
        <v>646</v>
      </c>
      <c r="Y656" s="56"/>
    </row>
    <row r="657" spans="3:25" x14ac:dyDescent="0.3">
      <c r="C657" s="347">
        <f t="shared" si="112"/>
        <v>44556</v>
      </c>
      <c r="E657" s="241">
        <v>3184372</v>
      </c>
      <c r="F657" s="7"/>
      <c r="G657" s="7">
        <v>1443915</v>
      </c>
      <c r="H657" s="7"/>
      <c r="I657" s="7">
        <v>474557</v>
      </c>
      <c r="J657" s="244"/>
      <c r="K657" s="7">
        <f t="shared" si="109"/>
        <v>5102844</v>
      </c>
      <c r="L657" s="6"/>
      <c r="M657" s="438">
        <f t="shared" si="110"/>
        <v>1.9281447531767377E-2</v>
      </c>
      <c r="N657" s="29"/>
      <c r="O657" s="29"/>
      <c r="P657" s="29"/>
      <c r="Q657" s="332">
        <f t="shared" si="111"/>
        <v>96529</v>
      </c>
      <c r="R657" s="6"/>
      <c r="S657" s="7">
        <f>58980+28861+9077</f>
        <v>96918</v>
      </c>
      <c r="T657" s="6"/>
      <c r="U657" s="243">
        <v>2.402125115017657E-2</v>
      </c>
      <c r="W657">
        <f t="shared" si="97"/>
        <v>647</v>
      </c>
      <c r="Y657" s="56"/>
    </row>
    <row r="658" spans="3:25" x14ac:dyDescent="0.3">
      <c r="C658" s="158">
        <f t="shared" si="112"/>
        <v>44557</v>
      </c>
      <c r="E658" s="241">
        <v>3221100</v>
      </c>
      <c r="F658" s="7"/>
      <c r="G658" s="7">
        <v>1453647</v>
      </c>
      <c r="H658" s="7"/>
      <c r="I658" s="7">
        <v>489211</v>
      </c>
      <c r="J658" s="244"/>
      <c r="K658" s="7">
        <f t="shared" si="109"/>
        <v>5163958</v>
      </c>
      <c r="L658" s="6"/>
      <c r="M658" s="438">
        <f t="shared" si="110"/>
        <v>1.1976458617978523E-2</v>
      </c>
      <c r="N658" s="29"/>
      <c r="O658" s="29"/>
      <c r="P658" s="29"/>
      <c r="Q658" s="332">
        <f t="shared" si="111"/>
        <v>61114</v>
      </c>
      <c r="R658" s="6"/>
      <c r="S658" s="7">
        <f>59119+28869+9103</f>
        <v>97091</v>
      </c>
      <c r="T658" s="6"/>
      <c r="U658" s="243">
        <v>2.402125115017657E-2</v>
      </c>
      <c r="W658">
        <f t="shared" si="97"/>
        <v>648</v>
      </c>
      <c r="Y658" s="56"/>
    </row>
    <row r="659" spans="3:25" x14ac:dyDescent="0.3">
      <c r="C659" s="158">
        <f t="shared" si="112"/>
        <v>44558</v>
      </c>
      <c r="E659" s="241">
        <v>3268202</v>
      </c>
      <c r="F659" s="7"/>
      <c r="G659" s="7">
        <v>1495354</v>
      </c>
      <c r="H659" s="7"/>
      <c r="I659" s="7">
        <v>494964</v>
      </c>
      <c r="J659" s="244"/>
      <c r="K659" s="7">
        <f t="shared" si="109"/>
        <v>5258520</v>
      </c>
      <c r="L659" s="6"/>
      <c r="M659" s="438">
        <f t="shared" si="110"/>
        <v>1.8311922753825653E-2</v>
      </c>
      <c r="N659" s="29"/>
      <c r="O659" s="29"/>
      <c r="P659" s="29"/>
      <c r="Q659" s="332">
        <f t="shared" si="111"/>
        <v>94562</v>
      </c>
      <c r="R659" s="6"/>
      <c r="S659" s="7">
        <f>59169+28967+9156</f>
        <v>97292</v>
      </c>
      <c r="T659" s="6"/>
      <c r="U659" s="243">
        <v>2.402125115017657E-2</v>
      </c>
      <c r="W659">
        <f t="shared" si="97"/>
        <v>649</v>
      </c>
      <c r="Y659" s="56"/>
    </row>
    <row r="660" spans="3:25" x14ac:dyDescent="0.3">
      <c r="C660" s="158">
        <f t="shared" si="112"/>
        <v>44559</v>
      </c>
      <c r="E660" s="241">
        <v>3350000</v>
      </c>
      <c r="F660" s="7"/>
      <c r="G660" s="7">
        <v>1500000</v>
      </c>
      <c r="H660" s="7"/>
      <c r="I660" s="7">
        <v>510188</v>
      </c>
      <c r="J660" s="244"/>
      <c r="K660" s="7">
        <f t="shared" si="109"/>
        <v>5360188</v>
      </c>
      <c r="L660" s="6"/>
      <c r="M660" s="438">
        <f t="shared" si="110"/>
        <v>1.9333957082981523E-2</v>
      </c>
      <c r="N660" s="29"/>
      <c r="O660" s="29"/>
      <c r="P660" s="29"/>
      <c r="Q660" s="332">
        <f t="shared" si="111"/>
        <v>101668</v>
      </c>
      <c r="R660" s="6"/>
      <c r="S660" s="7">
        <f>59434+28994+9160</f>
        <v>97588</v>
      </c>
      <c r="T660" s="6"/>
      <c r="U660" s="243">
        <v>2.402125115017657E-2</v>
      </c>
      <c r="W660">
        <f t="shared" si="97"/>
        <v>650</v>
      </c>
      <c r="Y660" s="56"/>
    </row>
    <row r="661" spans="3:25" x14ac:dyDescent="0.3">
      <c r="C661" s="158">
        <f t="shared" si="112"/>
        <v>44560</v>
      </c>
      <c r="E661" s="241">
        <v>3400000</v>
      </c>
      <c r="F661" s="7"/>
      <c r="G661" s="7">
        <v>1550000</v>
      </c>
      <c r="H661" s="7"/>
      <c r="I661" s="7">
        <v>510188</v>
      </c>
      <c r="J661" s="244"/>
      <c r="K661" s="7">
        <f t="shared" si="109"/>
        <v>5460188</v>
      </c>
      <c r="L661" s="6"/>
      <c r="M661" s="438">
        <f t="shared" si="110"/>
        <v>1.8656062063494787E-2</v>
      </c>
      <c r="N661" s="29"/>
      <c r="O661" s="29"/>
      <c r="P661" s="29"/>
      <c r="Q661" s="332">
        <f t="shared" si="111"/>
        <v>100000</v>
      </c>
      <c r="R661" s="6"/>
      <c r="S661" s="7">
        <f>59434+28994+9160</f>
        <v>97588</v>
      </c>
      <c r="T661" s="6"/>
      <c r="U661" s="243">
        <v>2.402125115017657E-2</v>
      </c>
      <c r="W661">
        <f t="shared" si="97"/>
        <v>651</v>
      </c>
      <c r="Y661" s="56"/>
    </row>
    <row r="662" spans="3:25" x14ac:dyDescent="0.3">
      <c r="C662" s="158">
        <f t="shared" si="112"/>
        <v>44561</v>
      </c>
      <c r="E662" s="241">
        <v>3480280</v>
      </c>
      <c r="F662" s="7"/>
      <c r="G662" s="7">
        <v>1564253</v>
      </c>
      <c r="H662" s="7"/>
      <c r="I662" s="7">
        <v>510188</v>
      </c>
      <c r="J662" s="244"/>
      <c r="K662" s="7">
        <f t="shared" si="109"/>
        <v>5554721</v>
      </c>
      <c r="L662" s="6"/>
      <c r="M662" s="438">
        <f t="shared" si="110"/>
        <v>1.7313140133636423E-2</v>
      </c>
      <c r="N662" s="29"/>
      <c r="O662" s="29"/>
      <c r="P662" s="29"/>
      <c r="Q662" s="332">
        <f t="shared" si="111"/>
        <v>94533</v>
      </c>
      <c r="R662" s="6"/>
      <c r="S662" s="7">
        <f>59508+29037+9160</f>
        <v>97705</v>
      </c>
      <c r="T662" s="6"/>
      <c r="U662" s="243">
        <v>2.402125115017657E-2</v>
      </c>
      <c r="W662">
        <f t="shared" si="97"/>
        <v>652</v>
      </c>
      <c r="Y662" s="56"/>
    </row>
    <row r="663" spans="3:25" x14ac:dyDescent="0.3">
      <c r="C663" s="158">
        <f>+C662+1</f>
        <v>44562</v>
      </c>
      <c r="E663" s="241">
        <v>3517696</v>
      </c>
      <c r="F663" s="7"/>
      <c r="G663" s="7">
        <v>1596644</v>
      </c>
      <c r="H663" s="7"/>
      <c r="I663" s="7">
        <v>510188</v>
      </c>
      <c r="J663" s="244"/>
      <c r="K663" s="7">
        <f t="shared" si="109"/>
        <v>5624528</v>
      </c>
      <c r="L663" s="6"/>
      <c r="M663" s="438">
        <f t="shared" si="110"/>
        <v>1.2567147836948067E-2</v>
      </c>
      <c r="N663" s="29"/>
      <c r="O663" s="29"/>
      <c r="P663" s="29"/>
      <c r="Q663" s="332">
        <f t="shared" si="111"/>
        <v>69807</v>
      </c>
      <c r="R663" s="6"/>
      <c r="S663" s="7">
        <f>59585+29053+9160</f>
        <v>97798</v>
      </c>
      <c r="T663" s="6"/>
      <c r="U663" s="243">
        <v>2.402125115017657E-2</v>
      </c>
      <c r="W663">
        <f t="shared" si="97"/>
        <v>653</v>
      </c>
      <c r="Y663" s="56"/>
    </row>
    <row r="664" spans="3:25" x14ac:dyDescent="0.3">
      <c r="C664" s="347">
        <f>+C663+1</f>
        <v>44563</v>
      </c>
      <c r="E664" s="241">
        <v>3552059</v>
      </c>
      <c r="F664" s="7"/>
      <c r="G664" s="7">
        <v>1623096</v>
      </c>
      <c r="H664" s="7"/>
      <c r="I664" s="7">
        <v>510188</v>
      </c>
      <c r="J664" s="244"/>
      <c r="K664" s="7">
        <f t="shared" si="109"/>
        <v>5685343</v>
      </c>
      <c r="L664" s="6"/>
      <c r="M664" s="438">
        <f t="shared" si="110"/>
        <v>1.0812462841326418E-2</v>
      </c>
      <c r="N664" s="29"/>
      <c r="O664" s="29"/>
      <c r="P664" s="29"/>
      <c r="Q664" s="332">
        <f t="shared" si="111"/>
        <v>60815</v>
      </c>
      <c r="R664" s="6"/>
      <c r="S664" s="7">
        <f>59682+29056+9160</f>
        <v>97898</v>
      </c>
      <c r="T664" s="6"/>
      <c r="U664" s="243">
        <v>2.402125115017657E-2</v>
      </c>
      <c r="W664">
        <f t="shared" si="97"/>
        <v>654</v>
      </c>
      <c r="Y664" s="56"/>
    </row>
    <row r="665" spans="3:25" x14ac:dyDescent="0.3">
      <c r="C665" s="158">
        <f>+C664+1</f>
        <v>44564</v>
      </c>
      <c r="E665" s="241">
        <v>3684152</v>
      </c>
      <c r="F665" s="7"/>
      <c r="G665" s="7">
        <v>1644839</v>
      </c>
      <c r="H665" s="7"/>
      <c r="I665" s="7">
        <v>533866</v>
      </c>
      <c r="J665" s="244"/>
      <c r="K665" s="7">
        <f t="shared" si="109"/>
        <v>5862857</v>
      </c>
      <c r="L665" s="6"/>
      <c r="M665" s="438">
        <f t="shared" si="110"/>
        <v>3.1223094191502605E-2</v>
      </c>
      <c r="N665" s="29"/>
      <c r="O665" s="29"/>
      <c r="P665" s="29"/>
      <c r="Q665" s="332">
        <f t="shared" si="111"/>
        <v>177514</v>
      </c>
      <c r="R665" s="6"/>
      <c r="S665" s="7">
        <f>59760+29073+9210</f>
        <v>98043</v>
      </c>
      <c r="T665" s="6"/>
      <c r="U665" s="243">
        <v>2.402125115017657E-2</v>
      </c>
      <c r="W665">
        <f t="shared" si="97"/>
        <v>655</v>
      </c>
      <c r="Y665" s="56"/>
    </row>
    <row r="666" spans="3:25" x14ac:dyDescent="0.3">
      <c r="C666" s="158">
        <f>+C665+1</f>
        <v>44565</v>
      </c>
      <c r="E666" s="241">
        <v>3736399</v>
      </c>
      <c r="F666" s="7"/>
      <c r="G666" s="7">
        <v>1674453</v>
      </c>
      <c r="H666" s="7"/>
      <c r="I666" s="7">
        <v>544468</v>
      </c>
      <c r="J666" s="244"/>
      <c r="K666" s="7">
        <f t="shared" si="109"/>
        <v>5955320</v>
      </c>
      <c r="L666" s="6"/>
      <c r="M666" s="438">
        <f t="shared" si="110"/>
        <v>1.5770979916446878E-2</v>
      </c>
      <c r="N666" s="29"/>
      <c r="O666" s="29"/>
      <c r="P666" s="29"/>
      <c r="Q666" s="332">
        <f t="shared" si="111"/>
        <v>92463</v>
      </c>
      <c r="R666" s="6"/>
      <c r="S666" s="7">
        <f>59865+29151+9274</f>
        <v>98290</v>
      </c>
      <c r="T666" s="6"/>
      <c r="U666" s="243">
        <v>2.402125115017657E-2</v>
      </c>
      <c r="W666">
        <f t="shared" si="97"/>
        <v>656</v>
      </c>
      <c r="Y666" s="56"/>
    </row>
    <row r="667" spans="3:25" x14ac:dyDescent="0.3">
      <c r="C667" s="158">
        <f t="shared" ref="C667:C678" si="113">+C666+1</f>
        <v>44566</v>
      </c>
      <c r="E667" s="241">
        <v>3812399</v>
      </c>
      <c r="F667" s="7"/>
      <c r="G667" s="7">
        <v>1711738</v>
      </c>
      <c r="H667" s="7"/>
      <c r="I667" s="7">
        <v>554812</v>
      </c>
      <c r="J667" s="244"/>
      <c r="K667" s="7">
        <f t="shared" si="109"/>
        <v>6078949</v>
      </c>
      <c r="L667" s="6"/>
      <c r="M667" s="438">
        <f t="shared" si="110"/>
        <v>2.0759421827878266E-2</v>
      </c>
      <c r="N667" s="29"/>
      <c r="O667" s="29"/>
      <c r="P667" s="29"/>
      <c r="Q667" s="332">
        <f t="shared" si="111"/>
        <v>123629</v>
      </c>
      <c r="R667" s="6"/>
      <c r="S667" s="7">
        <f>60023+29209+9281</f>
        <v>98513</v>
      </c>
      <c r="T667" s="6"/>
      <c r="U667" s="243">
        <v>2.402125115017657E-2</v>
      </c>
      <c r="W667">
        <f t="shared" si="97"/>
        <v>657</v>
      </c>
      <c r="Y667" s="56"/>
    </row>
    <row r="668" spans="3:25" x14ac:dyDescent="0.3">
      <c r="C668" s="158">
        <f t="shared" si="113"/>
        <v>44567</v>
      </c>
      <c r="E668" s="241">
        <v>3890666</v>
      </c>
      <c r="F668" s="7"/>
      <c r="G668" s="7">
        <v>1744002</v>
      </c>
      <c r="H668" s="7"/>
      <c r="I668" s="7">
        <v>563635</v>
      </c>
      <c r="J668" s="244"/>
      <c r="K668" s="7">
        <f t="shared" si="109"/>
        <v>6198303</v>
      </c>
      <c r="L668" s="6"/>
      <c r="M668" s="438">
        <f t="shared" si="110"/>
        <v>1.9633986072263479E-2</v>
      </c>
      <c r="N668" s="29"/>
      <c r="O668" s="29"/>
      <c r="P668" s="29"/>
      <c r="Q668" s="332">
        <f t="shared" si="111"/>
        <v>119354</v>
      </c>
      <c r="R668" s="6"/>
      <c r="S668" s="7">
        <f>60166+29315+9281</f>
        <v>98762</v>
      </c>
      <c r="T668" s="6"/>
      <c r="U668" s="243">
        <v>2.402125115017657E-2</v>
      </c>
      <c r="W668">
        <f t="shared" si="97"/>
        <v>658</v>
      </c>
      <c r="Y668" s="56"/>
    </row>
    <row r="669" spans="3:25" x14ac:dyDescent="0.3">
      <c r="C669" s="158">
        <f t="shared" si="113"/>
        <v>44568</v>
      </c>
      <c r="E669" s="241">
        <v>3975745</v>
      </c>
      <c r="F669" s="7"/>
      <c r="G669" s="7">
        <v>1782463</v>
      </c>
      <c r="H669" s="7"/>
      <c r="I669" s="7">
        <v>573711</v>
      </c>
      <c r="J669" s="244"/>
      <c r="K669" s="7">
        <f t="shared" si="109"/>
        <v>6331919</v>
      </c>
      <c r="L669" s="6"/>
      <c r="M669" s="438">
        <f t="shared" si="110"/>
        <v>2.155686806533982E-2</v>
      </c>
      <c r="N669" s="29"/>
      <c r="O669" s="29"/>
      <c r="P669" s="29"/>
      <c r="Q669" s="332">
        <f t="shared" si="111"/>
        <v>133616</v>
      </c>
      <c r="R669" s="6"/>
      <c r="S669" s="7">
        <f>60356+29374+9377</f>
        <v>99107</v>
      </c>
      <c r="T669" s="6"/>
      <c r="U669" s="243">
        <v>2.402125115017657E-2</v>
      </c>
      <c r="W669">
        <f t="shared" si="97"/>
        <v>659</v>
      </c>
      <c r="Y669" s="56"/>
    </row>
    <row r="670" spans="3:25" x14ac:dyDescent="0.3">
      <c r="C670" s="158">
        <f t="shared" si="113"/>
        <v>44569</v>
      </c>
      <c r="E670" s="241">
        <v>4057133</v>
      </c>
      <c r="F670" s="7"/>
      <c r="G670" s="7">
        <v>1815163</v>
      </c>
      <c r="H670" s="7"/>
      <c r="I670" s="7">
        <v>573711</v>
      </c>
      <c r="J670" s="244"/>
      <c r="K670" s="7">
        <f t="shared" si="109"/>
        <v>6446007</v>
      </c>
      <c r="L670" s="6"/>
      <c r="M670" s="438">
        <f t="shared" si="110"/>
        <v>1.8017918422519302E-2</v>
      </c>
      <c r="N670" s="29"/>
      <c r="O670" s="29"/>
      <c r="P670" s="29"/>
      <c r="Q670" s="332">
        <f t="shared" si="111"/>
        <v>114088</v>
      </c>
      <c r="R670" s="6"/>
      <c r="S670" s="7">
        <f>60441+29444+9377</f>
        <v>99262</v>
      </c>
      <c r="T670" s="6"/>
      <c r="U670" s="243">
        <v>2.402125115017657E-2</v>
      </c>
      <c r="W670">
        <f t="shared" si="97"/>
        <v>660</v>
      </c>
      <c r="Y670" s="56"/>
    </row>
    <row r="671" spans="3:25" x14ac:dyDescent="0.3">
      <c r="C671" s="347">
        <f t="shared" si="113"/>
        <v>44570</v>
      </c>
      <c r="E671" s="241">
        <v>4147154</v>
      </c>
      <c r="F671" s="7"/>
      <c r="G671" s="7">
        <v>1843677</v>
      </c>
      <c r="H671" s="7"/>
      <c r="I671" s="7">
        <v>573711</v>
      </c>
      <c r="J671" s="244"/>
      <c r="K671" s="7">
        <f t="shared" si="109"/>
        <v>6564542</v>
      </c>
      <c r="L671" s="6"/>
      <c r="M671" s="438">
        <f t="shared" si="110"/>
        <v>1.838890339399259E-2</v>
      </c>
      <c r="N671" s="29"/>
      <c r="O671" s="29"/>
      <c r="P671" s="29"/>
      <c r="Q671" s="332">
        <f t="shared" si="111"/>
        <v>118535</v>
      </c>
      <c r="R671" s="6"/>
      <c r="S671" s="7">
        <f>60611+29955+9377</f>
        <v>99943</v>
      </c>
      <c r="T671" s="6"/>
      <c r="U671" s="243">
        <v>2.402125115017657E-2</v>
      </c>
      <c r="W671">
        <f t="shared" si="97"/>
        <v>661</v>
      </c>
      <c r="Y671" s="56"/>
    </row>
    <row r="672" spans="3:25" x14ac:dyDescent="0.3">
      <c r="C672" s="158">
        <f t="shared" si="113"/>
        <v>44571</v>
      </c>
      <c r="E672" s="241">
        <v>4200000</v>
      </c>
      <c r="F672" s="7"/>
      <c r="G672" s="7">
        <v>1850000</v>
      </c>
      <c r="H672" s="7"/>
      <c r="I672" s="7">
        <v>590000</v>
      </c>
      <c r="J672" s="244"/>
      <c r="K672" s="7">
        <f t="shared" si="109"/>
        <v>6640000</v>
      </c>
      <c r="L672" s="6"/>
      <c r="M672" s="438">
        <f t="shared" si="110"/>
        <v>1.1494785165514974E-2</v>
      </c>
      <c r="N672" s="29"/>
      <c r="O672" s="29"/>
      <c r="P672" s="29"/>
      <c r="Q672" s="332">
        <f t="shared" si="111"/>
        <v>75458</v>
      </c>
      <c r="R672" s="6"/>
      <c r="S672" s="7">
        <f>60611+29955+9377</f>
        <v>99943</v>
      </c>
      <c r="T672" s="6"/>
      <c r="U672" s="243">
        <v>2.402125115017657E-2</v>
      </c>
      <c r="W672">
        <f t="shared" si="97"/>
        <v>662</v>
      </c>
      <c r="Y672" s="56"/>
    </row>
    <row r="673" spans="3:25" x14ac:dyDescent="0.3">
      <c r="C673" s="158">
        <f t="shared" si="113"/>
        <v>44572</v>
      </c>
      <c r="E673" s="241">
        <v>4257408</v>
      </c>
      <c r="F673" s="7"/>
      <c r="G673" s="7">
        <v>1892142</v>
      </c>
      <c r="H673" s="7"/>
      <c r="I673" s="7">
        <v>611867</v>
      </c>
      <c r="J673" s="244"/>
      <c r="K673" s="7">
        <f t="shared" si="109"/>
        <v>6761417</v>
      </c>
      <c r="L673" s="6"/>
      <c r="M673" s="438">
        <f t="shared" si="110"/>
        <v>1.8285692771084338E-2</v>
      </c>
      <c r="N673" s="29"/>
      <c r="O673" s="29"/>
      <c r="P673" s="29"/>
      <c r="Q673" s="332">
        <f t="shared" si="111"/>
        <v>121417</v>
      </c>
      <c r="R673" s="6"/>
      <c r="S673" s="7">
        <f>60986+29634+9435</f>
        <v>100055</v>
      </c>
      <c r="T673" s="6"/>
      <c r="U673" s="243">
        <v>2.402125115017657E-2</v>
      </c>
      <c r="W673">
        <f t="shared" si="97"/>
        <v>663</v>
      </c>
      <c r="Y673" s="56"/>
    </row>
    <row r="674" spans="3:25" x14ac:dyDescent="0.3">
      <c r="C674" s="158">
        <f t="shared" si="113"/>
        <v>44573</v>
      </c>
      <c r="E674" s="241">
        <v>4312866</v>
      </c>
      <c r="F674" s="7"/>
      <c r="G674" s="7">
        <v>1915417</v>
      </c>
      <c r="H674" s="7"/>
      <c r="I674" s="7">
        <v>619185</v>
      </c>
      <c r="J674" s="244"/>
      <c r="K674" s="7">
        <f t="shared" si="109"/>
        <v>6847468</v>
      </c>
      <c r="L674" s="6"/>
      <c r="M674" s="438">
        <f t="shared" si="110"/>
        <v>1.2726770143004048E-2</v>
      </c>
      <c r="N674" s="29"/>
      <c r="O674" s="29"/>
      <c r="P674" s="29"/>
      <c r="Q674" s="332">
        <f t="shared" si="111"/>
        <v>86051</v>
      </c>
      <c r="R674" s="6"/>
      <c r="S674" s="7">
        <f>61195+29737+9442</f>
        <v>100374</v>
      </c>
      <c r="T674" s="6"/>
      <c r="U674" s="243">
        <v>2.402125115017657E-2</v>
      </c>
      <c r="W674">
        <f t="shared" si="97"/>
        <v>664</v>
      </c>
      <c r="Y674" s="56"/>
    </row>
    <row r="675" spans="3:25" x14ac:dyDescent="0.3">
      <c r="C675" s="158">
        <f t="shared" si="113"/>
        <v>44574</v>
      </c>
      <c r="E675" s="241">
        <v>4374042</v>
      </c>
      <c r="F675" s="7"/>
      <c r="G675" s="7">
        <v>1939089</v>
      </c>
      <c r="H675" s="7"/>
      <c r="I675" s="7">
        <v>628789</v>
      </c>
      <c r="J675" s="244"/>
      <c r="K675" s="7">
        <f t="shared" si="109"/>
        <v>6941920</v>
      </c>
      <c r="L675" s="6"/>
      <c r="M675" s="438">
        <f t="shared" si="110"/>
        <v>1.3793711777842554E-2</v>
      </c>
      <c r="N675" s="29"/>
      <c r="O675" s="29"/>
      <c r="P675" s="29"/>
      <c r="Q675" s="332">
        <f t="shared" si="111"/>
        <v>94452</v>
      </c>
      <c r="R675" s="6"/>
      <c r="S675" s="7">
        <f>61303+30412+9442</f>
        <v>101157</v>
      </c>
      <c r="T675" s="6"/>
      <c r="U675" s="243">
        <v>2.402125115017657E-2</v>
      </c>
      <c r="W675">
        <f t="shared" si="97"/>
        <v>665</v>
      </c>
      <c r="Y675" s="56"/>
    </row>
    <row r="676" spans="3:25" x14ac:dyDescent="0.3">
      <c r="C676" s="158">
        <f t="shared" si="113"/>
        <v>44575</v>
      </c>
      <c r="E676" s="241">
        <v>4420245</v>
      </c>
      <c r="F676" s="7"/>
      <c r="G676" s="7">
        <v>1962198</v>
      </c>
      <c r="H676" s="7"/>
      <c r="I676" s="7">
        <v>637572</v>
      </c>
      <c r="J676" s="244"/>
      <c r="K676" s="7">
        <f t="shared" si="109"/>
        <v>7020015</v>
      </c>
      <c r="L676" s="6"/>
      <c r="M676" s="438">
        <f t="shared" si="110"/>
        <v>1.1249769516214534E-2</v>
      </c>
      <c r="N676" s="29"/>
      <c r="O676" s="29"/>
      <c r="P676" s="29"/>
      <c r="Q676" s="332">
        <f t="shared" si="111"/>
        <v>78095</v>
      </c>
      <c r="R676" s="6"/>
      <c r="S676" s="7">
        <f>61654+29959+9556</f>
        <v>101169</v>
      </c>
      <c r="T676" s="6"/>
      <c r="U676" s="243">
        <v>2.402125115017657E-2</v>
      </c>
      <c r="W676">
        <f t="shared" si="97"/>
        <v>666</v>
      </c>
      <c r="Y676" s="56"/>
    </row>
    <row r="677" spans="3:25" x14ac:dyDescent="0.3">
      <c r="C677" s="158">
        <f t="shared" si="113"/>
        <v>44576</v>
      </c>
      <c r="E677" s="241">
        <v>4460856</v>
      </c>
      <c r="F677" s="7"/>
      <c r="G677" s="7">
        <v>1979057</v>
      </c>
      <c r="H677" s="7"/>
      <c r="I677" s="7">
        <v>637572</v>
      </c>
      <c r="J677" s="244"/>
      <c r="K677" s="7">
        <f t="shared" si="109"/>
        <v>7077485</v>
      </c>
      <c r="L677" s="6"/>
      <c r="M677" s="438">
        <f t="shared" si="110"/>
        <v>8.1865921938913244E-3</v>
      </c>
      <c r="N677" s="29"/>
      <c r="O677" s="29"/>
      <c r="P677" s="29"/>
      <c r="Q677" s="332">
        <f t="shared" si="111"/>
        <v>57470</v>
      </c>
      <c r="R677" s="6"/>
      <c r="S677" s="7">
        <f>61746+30079+9556</f>
        <v>101381</v>
      </c>
      <c r="T677" s="6"/>
      <c r="U677" s="243">
        <v>2.402125115017657E-2</v>
      </c>
      <c r="W677">
        <f t="shared" si="97"/>
        <v>667</v>
      </c>
      <c r="Y677" s="56"/>
    </row>
    <row r="678" spans="3:25" x14ac:dyDescent="0.3">
      <c r="C678" s="347">
        <f t="shared" si="113"/>
        <v>44577</v>
      </c>
      <c r="E678" s="241">
        <v>4507714</v>
      </c>
      <c r="F678" s="7"/>
      <c r="G678" s="7">
        <v>1994502</v>
      </c>
      <c r="H678" s="7"/>
      <c r="I678" s="7">
        <v>637572</v>
      </c>
      <c r="J678" s="244"/>
      <c r="K678" s="7">
        <f t="shared" si="109"/>
        <v>7139788</v>
      </c>
      <c r="L678" s="6"/>
      <c r="M678" s="438">
        <f t="shared" si="110"/>
        <v>8.8029858063987422E-3</v>
      </c>
      <c r="N678" s="29"/>
      <c r="O678" s="29"/>
      <c r="P678" s="29"/>
      <c r="Q678" s="332">
        <f t="shared" si="111"/>
        <v>62303</v>
      </c>
      <c r="R678" s="6"/>
      <c r="S678" s="7">
        <f>61812+30089+9556</f>
        <v>101457</v>
      </c>
      <c r="T678" s="6"/>
      <c r="U678" s="243">
        <v>2.402125115017657E-2</v>
      </c>
      <c r="W678">
        <f t="shared" si="97"/>
        <v>668</v>
      </c>
      <c r="Y678" s="56"/>
    </row>
    <row r="679" spans="3:25" x14ac:dyDescent="0.3">
      <c r="C679" s="158">
        <f>+C678+1</f>
        <v>44578</v>
      </c>
      <c r="E679" s="241">
        <v>4547472</v>
      </c>
      <c r="F679" s="7"/>
      <c r="G679" s="7">
        <v>2003455</v>
      </c>
      <c r="H679" s="7"/>
      <c r="I679" s="7">
        <v>653416</v>
      </c>
      <c r="J679" s="244"/>
      <c r="K679" s="7">
        <f t="shared" ref="K679" si="114">SUM(E679:I679)</f>
        <v>7204343</v>
      </c>
      <c r="L679" s="6"/>
      <c r="M679" s="438">
        <f t="shared" ref="M679" si="115">+(K679-K678)/K678</f>
        <v>9.0415849882377452E-3</v>
      </c>
      <c r="N679" s="29"/>
      <c r="O679" s="29"/>
      <c r="P679" s="29"/>
      <c r="Q679" s="332">
        <f t="shared" ref="Q679" si="116">+K679-K678</f>
        <v>64555</v>
      </c>
      <c r="R679" s="6"/>
      <c r="S679" s="7">
        <f>62073+30389+9554</f>
        <v>102016</v>
      </c>
      <c r="T679" s="6"/>
      <c r="U679" s="243">
        <v>2.402125115017657E-2</v>
      </c>
      <c r="W679">
        <f t="shared" si="97"/>
        <v>669</v>
      </c>
      <c r="Y679" s="56"/>
    </row>
    <row r="680" spans="3:25" x14ac:dyDescent="0.3">
      <c r="C680" s="158">
        <f t="shared" ref="C680:C720" si="117">+C679+1</f>
        <v>44579</v>
      </c>
      <c r="E680" s="241">
        <v>4571356</v>
      </c>
      <c r="F680" s="7"/>
      <c r="G680" s="7">
        <v>2014702</v>
      </c>
      <c r="H680" s="7"/>
      <c r="I680" s="7">
        <v>657680</v>
      </c>
      <c r="J680" s="244"/>
      <c r="K680" s="7">
        <f t="shared" ref="K680" si="118">SUM(E680:I680)</f>
        <v>7243738</v>
      </c>
      <c r="L680" s="6"/>
      <c r="M680" s="438">
        <f t="shared" ref="M680" si="119">+(K680-K679)/K679</f>
        <v>5.4682293721995193E-3</v>
      </c>
      <c r="N680" s="29"/>
      <c r="O680" s="29"/>
      <c r="P680" s="29"/>
      <c r="Q680" s="332">
        <f t="shared" ref="Q680" si="120">+K680-K679</f>
        <v>39395</v>
      </c>
      <c r="R680" s="6"/>
      <c r="S680" s="7">
        <f>62407+30170+9564</f>
        <v>102141</v>
      </c>
      <c r="T680" s="6"/>
      <c r="U680" s="243">
        <v>2.402125115017657E-2</v>
      </c>
      <c r="W680">
        <f t="shared" si="97"/>
        <v>670</v>
      </c>
      <c r="Y680" s="56"/>
    </row>
    <row r="681" spans="3:25" x14ac:dyDescent="0.3">
      <c r="C681" s="158">
        <f t="shared" si="117"/>
        <v>44580</v>
      </c>
      <c r="E681" s="241">
        <v>4594182</v>
      </c>
      <c r="F681" s="7"/>
      <c r="G681" s="7">
        <v>2025616</v>
      </c>
      <c r="H681" s="7"/>
      <c r="I681" s="7">
        <v>662425</v>
      </c>
      <c r="J681" s="244"/>
      <c r="K681" s="7">
        <f t="shared" ref="K681" si="121">SUM(E681:I681)</f>
        <v>7282223</v>
      </c>
      <c r="L681" s="6"/>
      <c r="M681" s="438">
        <f t="shared" ref="M681" si="122">+(K681-K680)/K680</f>
        <v>5.3128647115619036E-3</v>
      </c>
      <c r="N681" s="29"/>
      <c r="O681" s="29"/>
      <c r="P681" s="29"/>
      <c r="Q681" s="332">
        <f t="shared" ref="Q681" si="123">+K681-K680</f>
        <v>38485</v>
      </c>
      <c r="R681" s="6"/>
      <c r="S681" s="7">
        <f>62672+30315+9670</f>
        <v>102657</v>
      </c>
      <c r="T681" s="6"/>
      <c r="U681" s="243">
        <v>2.402125115017657E-2</v>
      </c>
      <c r="W681">
        <f t="shared" si="97"/>
        <v>671</v>
      </c>
      <c r="Y681" s="56"/>
    </row>
    <row r="682" spans="3:25" x14ac:dyDescent="0.3">
      <c r="C682" s="158">
        <f t="shared" si="117"/>
        <v>44581</v>
      </c>
      <c r="E682" s="241">
        <v>4624257</v>
      </c>
      <c r="F682" s="7"/>
      <c r="G682" s="7">
        <v>2037690</v>
      </c>
      <c r="H682" s="7"/>
      <c r="I682" s="7">
        <v>667230</v>
      </c>
      <c r="J682" s="244"/>
      <c r="K682" s="7">
        <f t="shared" ref="K682" si="124">SUM(E682:I682)</f>
        <v>7329177</v>
      </c>
      <c r="L682" s="6"/>
      <c r="M682" s="438">
        <f t="shared" ref="M682" si="125">+(K682-K681)/K681</f>
        <v>6.4477564062512234E-3</v>
      </c>
      <c r="N682" s="29"/>
      <c r="O682" s="29"/>
      <c r="P682" s="29"/>
      <c r="Q682" s="332">
        <f t="shared" ref="Q682" si="126">+K682-K681</f>
        <v>46954</v>
      </c>
      <c r="R682" s="6"/>
      <c r="S682" s="7">
        <f>62873+30476+9683</f>
        <v>103032</v>
      </c>
      <c r="T682" s="6"/>
      <c r="U682" s="243">
        <v>2.402125115017657E-2</v>
      </c>
      <c r="W682">
        <f t="shared" si="97"/>
        <v>672</v>
      </c>
      <c r="Y682" s="56"/>
    </row>
    <row r="683" spans="3:25" x14ac:dyDescent="0.3">
      <c r="C683" s="158">
        <f t="shared" si="117"/>
        <v>44582</v>
      </c>
      <c r="E683" s="241">
        <v>4653025</v>
      </c>
      <c r="F683" s="7"/>
      <c r="G683" s="7">
        <v>2049573</v>
      </c>
      <c r="H683" s="7"/>
      <c r="I683" s="7">
        <v>671674</v>
      </c>
      <c r="J683" s="244"/>
      <c r="K683" s="7">
        <f t="shared" ref="K683" si="127">SUM(E683:I683)</f>
        <v>7374272</v>
      </c>
      <c r="L683" s="6"/>
      <c r="M683" s="438">
        <f t="shared" ref="M683" si="128">+(K683-K682)/K682</f>
        <v>6.1528054241287936E-3</v>
      </c>
      <c r="N683" s="29"/>
      <c r="O683" s="29"/>
      <c r="P683" s="29"/>
      <c r="Q683" s="332">
        <f t="shared" ref="Q683" si="129">+K683-K682</f>
        <v>45095</v>
      </c>
      <c r="R683" s="6"/>
      <c r="S683" s="7">
        <f>63098+30618+9769</f>
        <v>103485</v>
      </c>
      <c r="T683" s="6"/>
      <c r="U683" s="243">
        <v>2.402125115017657E-2</v>
      </c>
      <c r="W683">
        <f t="shared" si="97"/>
        <v>673</v>
      </c>
      <c r="Y683" s="56"/>
    </row>
    <row r="684" spans="3:25" x14ac:dyDescent="0.3">
      <c r="C684" s="158">
        <f t="shared" si="117"/>
        <v>44583</v>
      </c>
      <c r="E684" s="241">
        <v>4675346</v>
      </c>
      <c r="F684" s="7"/>
      <c r="G684" s="7">
        <v>2058497</v>
      </c>
      <c r="H684" s="7"/>
      <c r="I684" s="7">
        <v>671674</v>
      </c>
      <c r="J684" s="244"/>
      <c r="K684" s="7">
        <f t="shared" ref="K684" si="130">SUM(E684:I684)</f>
        <v>7405517</v>
      </c>
      <c r="L684" s="6"/>
      <c r="M684" s="438">
        <f t="shared" ref="M684" si="131">+(K684-K683)/K683</f>
        <v>4.2370284144658621E-3</v>
      </c>
      <c r="N684" s="29"/>
      <c r="O684" s="29"/>
      <c r="P684" s="29"/>
      <c r="Q684" s="332">
        <f t="shared" ref="Q684" si="132">+K684-K683</f>
        <v>31245</v>
      </c>
      <c r="R684" s="6"/>
      <c r="S684" s="7">
        <f>63191+30746+9769</f>
        <v>103706</v>
      </c>
      <c r="T684" s="6"/>
      <c r="U684" s="243">
        <v>2.402125115017657E-2</v>
      </c>
      <c r="W684">
        <f t="shared" si="97"/>
        <v>674</v>
      </c>
      <c r="Y684" s="56"/>
    </row>
    <row r="685" spans="3:25" x14ac:dyDescent="0.3">
      <c r="C685" s="347">
        <f t="shared" si="117"/>
        <v>44584</v>
      </c>
      <c r="E685" s="241">
        <v>4701632</v>
      </c>
      <c r="F685" s="7"/>
      <c r="G685" s="7">
        <v>2067692</v>
      </c>
      <c r="H685" s="7"/>
      <c r="I685" s="7">
        <v>671674</v>
      </c>
      <c r="J685" s="244"/>
      <c r="K685" s="7">
        <f t="shared" ref="K685" si="133">SUM(E685:I685)</f>
        <v>7440998</v>
      </c>
      <c r="L685" s="6"/>
      <c r="M685" s="438">
        <f t="shared" ref="M685" si="134">+(K685-K684)/K684</f>
        <v>4.7911577274078231E-3</v>
      </c>
      <c r="N685" s="29"/>
      <c r="O685" s="29"/>
      <c r="P685" s="29"/>
      <c r="Q685" s="332">
        <f t="shared" ref="Q685" si="135">+K685-K684</f>
        <v>35481</v>
      </c>
      <c r="R685" s="6"/>
      <c r="S685" s="7">
        <f>63413+30759+9769</f>
        <v>103941</v>
      </c>
      <c r="T685" s="6"/>
      <c r="U685" s="243">
        <v>2.402125115017657E-2</v>
      </c>
      <c r="W685">
        <f t="shared" si="97"/>
        <v>675</v>
      </c>
      <c r="Y685" s="56"/>
    </row>
    <row r="686" spans="3:25" x14ac:dyDescent="0.3">
      <c r="C686" s="158">
        <f t="shared" si="117"/>
        <v>44585</v>
      </c>
      <c r="E686" s="241">
        <v>4714010</v>
      </c>
      <c r="F686" s="7"/>
      <c r="G686" s="7">
        <v>2072536</v>
      </c>
      <c r="H686" s="7"/>
      <c r="I686" s="7">
        <v>683731</v>
      </c>
      <c r="J686" s="244"/>
      <c r="K686" s="7">
        <f t="shared" ref="K686" si="136">SUM(E686:I686)</f>
        <v>7470277</v>
      </c>
      <c r="L686" s="6"/>
      <c r="M686" s="438">
        <f t="shared" ref="M686" si="137">+(K686-K685)/K685</f>
        <v>3.9348216462361633E-3</v>
      </c>
      <c r="N686" s="29"/>
      <c r="O686" s="29"/>
      <c r="P686" s="29"/>
      <c r="Q686" s="332">
        <f t="shared" ref="Q686" si="138">+K686-K685</f>
        <v>29279</v>
      </c>
      <c r="R686" s="6"/>
      <c r="S686" s="7">
        <f>63519+30799+9774</f>
        <v>104092</v>
      </c>
      <c r="T686" s="6"/>
      <c r="U686" s="243">
        <v>2.402125115017657E-2</v>
      </c>
      <c r="W686">
        <f t="shared" si="97"/>
        <v>676</v>
      </c>
      <c r="Y686" s="56"/>
    </row>
    <row r="687" spans="3:25" x14ac:dyDescent="0.3">
      <c r="C687" s="158">
        <f t="shared" si="117"/>
        <v>44586</v>
      </c>
      <c r="E687" s="241">
        <v>4728422</v>
      </c>
      <c r="F687" s="7"/>
      <c r="G687" s="7">
        <v>2078258</v>
      </c>
      <c r="H687" s="7"/>
      <c r="I687" s="7">
        <v>687555</v>
      </c>
      <c r="J687" s="244"/>
      <c r="K687" s="7">
        <f t="shared" ref="K687" si="139">SUM(E687:I687)</f>
        <v>7494235</v>
      </c>
      <c r="L687" s="6"/>
      <c r="M687" s="438">
        <f t="shared" ref="M687" si="140">+(K687-K686)/K686</f>
        <v>3.2071099907004788E-3</v>
      </c>
      <c r="N687" s="29"/>
      <c r="O687" s="29"/>
      <c r="P687" s="29"/>
      <c r="Q687" s="332">
        <f t="shared" ref="Q687" si="141">+K687-K686</f>
        <v>23958</v>
      </c>
      <c r="R687" s="6"/>
      <c r="S687" s="7">
        <f>63824+30950+9773</f>
        <v>104547</v>
      </c>
      <c r="T687" s="6"/>
      <c r="U687" s="243">
        <v>2.402125115017657E-2</v>
      </c>
      <c r="W687">
        <f t="shared" si="97"/>
        <v>677</v>
      </c>
      <c r="Y687" s="56"/>
    </row>
    <row r="688" spans="3:25" x14ac:dyDescent="0.3">
      <c r="C688" s="158">
        <f t="shared" si="117"/>
        <v>44587</v>
      </c>
      <c r="E688" s="241">
        <v>4747535</v>
      </c>
      <c r="F688" s="7"/>
      <c r="G688" s="7">
        <v>2085385</v>
      </c>
      <c r="H688" s="7"/>
      <c r="I688" s="7">
        <v>690350</v>
      </c>
      <c r="J688" s="244"/>
      <c r="K688" s="7">
        <f t="shared" ref="K688" si="142">SUM(E688:I688)</f>
        <v>7523270</v>
      </c>
      <c r="L688" s="6"/>
      <c r="M688" s="438">
        <f t="shared" ref="M688" si="143">+(K688-K687)/K687</f>
        <v>3.8743113873530789E-3</v>
      </c>
      <c r="N688" s="29"/>
      <c r="O688" s="29"/>
      <c r="P688" s="29"/>
      <c r="Q688" s="332">
        <f t="shared" ref="Q688" si="144">+K688-K687</f>
        <v>29035</v>
      </c>
      <c r="R688" s="6"/>
      <c r="S688" s="7">
        <f>64094+31093+9901</f>
        <v>105088</v>
      </c>
      <c r="T688" s="6"/>
      <c r="U688" s="243">
        <v>2.402125115017657E-2</v>
      </c>
      <c r="W688">
        <f t="shared" si="97"/>
        <v>678</v>
      </c>
      <c r="Y688" s="56"/>
    </row>
    <row r="689" spans="3:25" x14ac:dyDescent="0.3">
      <c r="C689" s="158">
        <f t="shared" si="117"/>
        <v>44588</v>
      </c>
      <c r="E689" s="241">
        <v>4764422</v>
      </c>
      <c r="F689" s="7"/>
      <c r="G689" s="7">
        <v>2092109</v>
      </c>
      <c r="H689" s="7"/>
      <c r="I689" s="7">
        <v>693386</v>
      </c>
      <c r="J689" s="244"/>
      <c r="K689" s="7">
        <f t="shared" ref="K689" si="145">SUM(E689:I689)</f>
        <v>7549917</v>
      </c>
      <c r="L689" s="6"/>
      <c r="M689" s="438">
        <f t="shared" ref="M689" si="146">+(K689-K688)/K688</f>
        <v>3.5419438621769523E-3</v>
      </c>
      <c r="N689" s="29"/>
      <c r="O689" s="29"/>
      <c r="P689" s="29"/>
      <c r="Q689" s="332">
        <f t="shared" ref="Q689" si="147">+K689-K688</f>
        <v>26647</v>
      </c>
      <c r="R689" s="6"/>
      <c r="S689" s="7">
        <f>64285+31208+9908</f>
        <v>105401</v>
      </c>
      <c r="T689" s="6"/>
      <c r="U689" s="243">
        <v>2.402125115017657E-2</v>
      </c>
      <c r="W689">
        <f t="shared" si="97"/>
        <v>679</v>
      </c>
      <c r="Y689" s="56"/>
    </row>
    <row r="690" spans="3:25" x14ac:dyDescent="0.3">
      <c r="C690" s="158">
        <f t="shared" si="117"/>
        <v>44589</v>
      </c>
      <c r="E690" s="241">
        <v>4778737</v>
      </c>
      <c r="F690" s="7"/>
      <c r="G690" s="7">
        <v>2102227</v>
      </c>
      <c r="H690" s="7"/>
      <c r="I690" s="7">
        <v>696070</v>
      </c>
      <c r="J690" s="244"/>
      <c r="K690" s="7">
        <f t="shared" ref="K690" si="148">SUM(E690:I690)</f>
        <v>7577034</v>
      </c>
      <c r="L690" s="6"/>
      <c r="M690" s="438">
        <f t="shared" ref="M690" si="149">+(K690-K689)/K689</f>
        <v>3.5916951139992664E-3</v>
      </c>
      <c r="N690" s="29"/>
      <c r="O690" s="29"/>
      <c r="P690" s="29"/>
      <c r="Q690" s="332">
        <f t="shared" ref="Q690" si="150">+K690-K689</f>
        <v>27117</v>
      </c>
      <c r="R690" s="6"/>
      <c r="S690" s="7">
        <f>64516+31320+9985</f>
        <v>105821</v>
      </c>
      <c r="T690" s="6"/>
      <c r="U690" s="243">
        <v>2.402125115017657E-2</v>
      </c>
      <c r="W690">
        <f t="shared" si="97"/>
        <v>680</v>
      </c>
      <c r="Y690" s="56"/>
    </row>
    <row r="691" spans="3:25" x14ac:dyDescent="0.3">
      <c r="C691" s="158">
        <f t="shared" si="117"/>
        <v>44590</v>
      </c>
      <c r="E691" s="241">
        <v>4790901</v>
      </c>
      <c r="F691" s="7"/>
      <c r="G691" s="7">
        <v>2107606</v>
      </c>
      <c r="H691" s="7"/>
      <c r="I691" s="7">
        <v>696070</v>
      </c>
      <c r="J691" s="244"/>
      <c r="K691" s="7">
        <f t="shared" ref="K691" si="151">SUM(E691:I691)</f>
        <v>7594577</v>
      </c>
      <c r="L691" s="6"/>
      <c r="M691" s="438">
        <f t="shared" ref="M691" si="152">+(K691-K690)/K690</f>
        <v>2.3152859021089256E-3</v>
      </c>
      <c r="N691" s="29"/>
      <c r="O691" s="29"/>
      <c r="P691" s="29"/>
      <c r="Q691" s="332">
        <f t="shared" ref="Q691" si="153">+K691-K690</f>
        <v>17543</v>
      </c>
      <c r="R691" s="6"/>
      <c r="S691" s="7">
        <f>64718+31391+9985</f>
        <v>106094</v>
      </c>
      <c r="T691" s="6"/>
      <c r="U691" s="243">
        <v>2.402125115017657E-2</v>
      </c>
      <c r="W691">
        <f t="shared" si="97"/>
        <v>681</v>
      </c>
      <c r="Y691" s="56"/>
    </row>
    <row r="692" spans="3:25" x14ac:dyDescent="0.3">
      <c r="C692" s="347">
        <f t="shared" si="117"/>
        <v>44591</v>
      </c>
      <c r="E692" s="241">
        <v>4797903</v>
      </c>
      <c r="F692" s="7"/>
      <c r="G692" s="7">
        <v>2109783</v>
      </c>
      <c r="H692" s="7"/>
      <c r="I692" s="7">
        <v>696070</v>
      </c>
      <c r="J692" s="244"/>
      <c r="K692" s="7">
        <f t="shared" ref="K692" si="154">SUM(E692:I692)</f>
        <v>7603756</v>
      </c>
      <c r="L692" s="6"/>
      <c r="M692" s="438">
        <f t="shared" ref="M692" si="155">+(K692-K691)/K691</f>
        <v>1.2086255758549818E-3</v>
      </c>
      <c r="N692" s="29"/>
      <c r="O692" s="29"/>
      <c r="P692" s="29"/>
      <c r="Q692" s="332">
        <f t="shared" ref="Q692" si="156">+K692-K691</f>
        <v>9179</v>
      </c>
      <c r="R692" s="6"/>
      <c r="S692" s="7">
        <f>64778+31412+9985</f>
        <v>106175</v>
      </c>
      <c r="T692" s="6"/>
      <c r="U692" s="243">
        <v>2.402125115017657E-2</v>
      </c>
      <c r="W692">
        <f t="shared" si="97"/>
        <v>682</v>
      </c>
      <c r="Y692" s="56"/>
    </row>
    <row r="693" spans="3:25" x14ac:dyDescent="0.3">
      <c r="C693" s="158">
        <f t="shared" si="117"/>
        <v>44592</v>
      </c>
      <c r="E693" s="241">
        <v>4805416</v>
      </c>
      <c r="F693" s="7"/>
      <c r="G693" s="7">
        <v>2111856</v>
      </c>
      <c r="H693" s="7"/>
      <c r="I693" s="7">
        <v>699400</v>
      </c>
      <c r="J693" s="244"/>
      <c r="K693" s="7">
        <f t="shared" ref="K693" si="157">SUM(E693:I693)</f>
        <v>7616672</v>
      </c>
      <c r="L693" s="6"/>
      <c r="M693" s="438">
        <f t="shared" ref="M693" si="158">+(K693-K692)/K692</f>
        <v>1.69863420130788E-3</v>
      </c>
      <c r="N693" s="29"/>
      <c r="O693" s="29"/>
      <c r="P693" s="29"/>
      <c r="Q693" s="332">
        <f t="shared" ref="Q693" si="159">+K693-K692</f>
        <v>12916</v>
      </c>
      <c r="R693" s="6"/>
      <c r="S693" s="7">
        <f>64846+31442+10010</f>
        <v>106298</v>
      </c>
      <c r="T693" s="6"/>
      <c r="U693" s="243">
        <v>2.402125115017657E-2</v>
      </c>
      <c r="W693">
        <f t="shared" si="97"/>
        <v>683</v>
      </c>
      <c r="Y693" s="56"/>
    </row>
    <row r="694" spans="3:25" x14ac:dyDescent="0.3">
      <c r="C694" s="158">
        <f t="shared" si="117"/>
        <v>44593</v>
      </c>
      <c r="E694" s="241">
        <v>4815000</v>
      </c>
      <c r="F694" s="7"/>
      <c r="G694" s="7">
        <v>2111856</v>
      </c>
      <c r="H694" s="579" t="s">
        <v>26</v>
      </c>
      <c r="I694" s="7">
        <v>699400</v>
      </c>
      <c r="J694" s="244"/>
      <c r="K694" s="7">
        <f t="shared" ref="K694" si="160">SUM(E694:I694)</f>
        <v>7626256</v>
      </c>
      <c r="L694" s="6"/>
      <c r="M694" s="438">
        <f t="shared" ref="M694" si="161">+(K694-K693)/K693</f>
        <v>1.2582923355502246E-3</v>
      </c>
      <c r="N694" s="29"/>
      <c r="O694" s="29"/>
      <c r="P694" s="29"/>
      <c r="Q694" s="332">
        <f t="shared" ref="Q694" si="162">+K694-K693</f>
        <v>9584</v>
      </c>
      <c r="R694" s="6"/>
      <c r="S694" s="7">
        <f>64846+31442+10010</f>
        <v>106298</v>
      </c>
      <c r="T694" s="6"/>
      <c r="U694" s="243">
        <v>2.402125115017657E-2</v>
      </c>
      <c r="W694">
        <f t="shared" si="97"/>
        <v>684</v>
      </c>
      <c r="Y694" s="56"/>
    </row>
    <row r="695" spans="3:25" x14ac:dyDescent="0.3">
      <c r="C695" s="158">
        <f t="shared" si="117"/>
        <v>44594</v>
      </c>
      <c r="E695" s="241">
        <v>4821628</v>
      </c>
      <c r="F695" s="7"/>
      <c r="G695" s="7">
        <v>2119298</v>
      </c>
      <c r="H695" s="7"/>
      <c r="I695" s="7">
        <v>702426</v>
      </c>
      <c r="J695" s="244"/>
      <c r="K695" s="7">
        <f t="shared" ref="K695" si="163">SUM(E695:I695)</f>
        <v>7643352</v>
      </c>
      <c r="L695" s="6"/>
      <c r="M695" s="438">
        <f t="shared" ref="M695" si="164">+(K695-K694)/K694</f>
        <v>2.241729100098397E-3</v>
      </c>
      <c r="N695" s="29"/>
      <c r="O695" s="29"/>
      <c r="P695" s="29"/>
      <c r="Q695" s="332">
        <f t="shared" ref="Q695" si="165">+K695-K694</f>
        <v>17096</v>
      </c>
      <c r="R695" s="6"/>
      <c r="S695" s="7">
        <f>65257+31663+10083</f>
        <v>107003</v>
      </c>
      <c r="T695" s="6"/>
      <c r="U695" s="243">
        <v>2.402125115017657E-2</v>
      </c>
      <c r="W695">
        <f t="shared" si="97"/>
        <v>685</v>
      </c>
      <c r="Y695" s="56"/>
    </row>
    <row r="696" spans="3:25" x14ac:dyDescent="0.3">
      <c r="C696" s="158">
        <f t="shared" si="117"/>
        <v>44595</v>
      </c>
      <c r="E696" s="241">
        <v>4831404</v>
      </c>
      <c r="F696" s="7"/>
      <c r="G696" s="7">
        <v>2123207</v>
      </c>
      <c r="H696" s="7"/>
      <c r="I696" s="7">
        <v>704871</v>
      </c>
      <c r="J696" s="244"/>
      <c r="K696" s="7">
        <f t="shared" ref="K696" si="166">SUM(E696:I696)</f>
        <v>7659482</v>
      </c>
      <c r="L696" s="6"/>
      <c r="M696" s="438">
        <f t="shared" ref="M696" si="167">+(K696-K695)/K695</f>
        <v>2.1103306507406698E-3</v>
      </c>
      <c r="N696" s="29"/>
      <c r="O696" s="29"/>
      <c r="P696" s="29"/>
      <c r="Q696" s="332">
        <f t="shared" ref="Q696" si="168">+K696-K695</f>
        <v>16130</v>
      </c>
      <c r="R696" s="6"/>
      <c r="S696" s="7">
        <f>65421+31769+10083</f>
        <v>107273</v>
      </c>
      <c r="T696" s="6"/>
      <c r="U696" s="243">
        <v>2.402125115017657E-2</v>
      </c>
      <c r="W696">
        <f t="shared" si="97"/>
        <v>686</v>
      </c>
      <c r="Y696" s="56"/>
    </row>
    <row r="697" spans="3:25" x14ac:dyDescent="0.3">
      <c r="C697" s="158">
        <f t="shared" si="117"/>
        <v>44596</v>
      </c>
      <c r="E697" s="241">
        <v>4839516</v>
      </c>
      <c r="F697" s="7"/>
      <c r="G697" s="7">
        <v>2129191</v>
      </c>
      <c r="H697" s="7"/>
      <c r="I697" s="7">
        <v>706140</v>
      </c>
      <c r="J697" s="244"/>
      <c r="K697" s="7">
        <f t="shared" ref="K697" si="169">SUM(E697:I697)</f>
        <v>7674847</v>
      </c>
      <c r="L697" s="6"/>
      <c r="M697" s="438">
        <f t="shared" ref="M697" si="170">+(K697-K696)/K696</f>
        <v>2.0060103281135722E-3</v>
      </c>
      <c r="N697" s="29"/>
      <c r="O697" s="29"/>
      <c r="P697" s="29"/>
      <c r="Q697" s="332">
        <f t="shared" ref="Q697" si="171">+K697-K696</f>
        <v>15365</v>
      </c>
      <c r="R697" s="6"/>
      <c r="S697" s="7">
        <f>65578+31948+10159</f>
        <v>107685</v>
      </c>
      <c r="T697" s="6"/>
      <c r="U697" s="243">
        <v>2.402125115017657E-2</v>
      </c>
      <c r="W697">
        <f t="shared" si="97"/>
        <v>687</v>
      </c>
      <c r="Y697" s="56"/>
    </row>
    <row r="698" spans="3:25" x14ac:dyDescent="0.3">
      <c r="C698" s="158">
        <f t="shared" si="117"/>
        <v>44597</v>
      </c>
      <c r="E698" s="241">
        <v>4847500</v>
      </c>
      <c r="F698" s="7"/>
      <c r="G698" s="7">
        <v>2129191</v>
      </c>
      <c r="H698" s="7"/>
      <c r="I698" s="7">
        <v>706140</v>
      </c>
      <c r="J698" s="244"/>
      <c r="K698" s="7">
        <f t="shared" ref="K698" si="172">SUM(E698:I698)</f>
        <v>7682831</v>
      </c>
      <c r="L698" s="6"/>
      <c r="M698" s="438">
        <f t="shared" ref="M698" si="173">+(K698-K697)/K697</f>
        <v>1.0402813241749314E-3</v>
      </c>
      <c r="N698" s="29"/>
      <c r="O698" s="29"/>
      <c r="P698" s="29"/>
      <c r="Q698" s="332">
        <f t="shared" ref="Q698" si="174">+K698-K697</f>
        <v>7984</v>
      </c>
      <c r="R698" s="6"/>
      <c r="S698" s="7">
        <f>65626+31948+10159</f>
        <v>107733</v>
      </c>
      <c r="T698" s="6"/>
      <c r="U698" s="243">
        <v>2.402125115017657E-2</v>
      </c>
      <c r="W698">
        <f t="shared" si="97"/>
        <v>688</v>
      </c>
      <c r="Y698" s="56"/>
    </row>
    <row r="699" spans="3:25" x14ac:dyDescent="0.3">
      <c r="C699" s="347">
        <f t="shared" si="117"/>
        <v>44598</v>
      </c>
      <c r="E699" s="241">
        <v>4852369</v>
      </c>
      <c r="F699" s="7"/>
      <c r="G699" s="7">
        <v>2131015</v>
      </c>
      <c r="H699" s="7"/>
      <c r="I699" s="7">
        <v>706140</v>
      </c>
      <c r="J699" s="244"/>
      <c r="K699" s="7">
        <f t="shared" ref="K699" si="175">SUM(E699:I699)</f>
        <v>7689524</v>
      </c>
      <c r="L699" s="6"/>
      <c r="M699" s="438">
        <f t="shared" ref="M699" si="176">+(K699-K698)/K698</f>
        <v>8.7116324698538862E-4</v>
      </c>
      <c r="N699" s="29"/>
      <c r="O699" s="29"/>
      <c r="P699" s="29"/>
      <c r="Q699" s="332">
        <f t="shared" ref="Q699" si="177">+K699-K698</f>
        <v>6693</v>
      </c>
      <c r="R699" s="6"/>
      <c r="S699" s="7">
        <f>65626+31948+10159</f>
        <v>107733</v>
      </c>
      <c r="T699" s="6"/>
      <c r="U699" s="243">
        <v>2.402125115017657E-2</v>
      </c>
      <c r="W699">
        <f t="shared" si="97"/>
        <v>689</v>
      </c>
      <c r="Y699" s="56"/>
    </row>
    <row r="700" spans="3:25" x14ac:dyDescent="0.3">
      <c r="C700" s="158">
        <f t="shared" si="117"/>
        <v>44599</v>
      </c>
      <c r="E700" s="241">
        <v>4860000</v>
      </c>
      <c r="F700" s="7"/>
      <c r="G700" s="7">
        <v>2131200</v>
      </c>
      <c r="H700" s="579" t="s">
        <v>26</v>
      </c>
      <c r="I700" s="7">
        <v>707500</v>
      </c>
      <c r="J700" s="244"/>
      <c r="K700" s="7">
        <f t="shared" ref="K700" si="178">SUM(E700:I700)</f>
        <v>7698700</v>
      </c>
      <c r="L700" s="6"/>
      <c r="M700" s="438">
        <f t="shared" ref="M700" si="179">+(K700-K699)/K699</f>
        <v>1.1933118356870984E-3</v>
      </c>
      <c r="N700" s="29"/>
      <c r="O700" s="29"/>
      <c r="P700" s="29"/>
      <c r="Q700" s="332">
        <f t="shared" ref="Q700" si="180">+K700-K699</f>
        <v>9176</v>
      </c>
      <c r="R700" s="6"/>
      <c r="S700" s="7">
        <f>65626+31948+10159</f>
        <v>107733</v>
      </c>
      <c r="T700" s="6"/>
      <c r="U700" s="243">
        <v>2.402125115017657E-2</v>
      </c>
      <c r="W700">
        <f t="shared" si="97"/>
        <v>690</v>
      </c>
      <c r="Y700" s="56"/>
    </row>
    <row r="701" spans="3:25" x14ac:dyDescent="0.3">
      <c r="C701" s="158">
        <f t="shared" si="117"/>
        <v>44600</v>
      </c>
      <c r="E701" s="241">
        <v>4860442</v>
      </c>
      <c r="F701" s="7"/>
      <c r="G701" s="7">
        <v>2134058</v>
      </c>
      <c r="H701" s="7"/>
      <c r="I701" s="7">
        <v>709621</v>
      </c>
      <c r="J701" s="244"/>
      <c r="K701" s="7">
        <f t="shared" ref="K701" si="181">SUM(E701:I701)</f>
        <v>7704121</v>
      </c>
      <c r="L701" s="6"/>
      <c r="M701" s="438">
        <f t="shared" ref="M701" si="182">+(K701-K700)/K700</f>
        <v>7.0414485562497568E-4</v>
      </c>
      <c r="N701" s="29"/>
      <c r="O701" s="29"/>
      <c r="P701" s="29"/>
      <c r="Q701" s="332">
        <f t="shared" ref="Q701" si="183">+K701-K700</f>
        <v>5421</v>
      </c>
      <c r="R701" s="6"/>
      <c r="S701" s="7">
        <f>66015+32094+10158</f>
        <v>108267</v>
      </c>
      <c r="T701" s="6"/>
      <c r="U701" s="243">
        <v>2.402125115017657E-2</v>
      </c>
      <c r="W701">
        <f t="shared" si="97"/>
        <v>691</v>
      </c>
      <c r="Y701" s="56"/>
    </row>
    <row r="702" spans="3:25" x14ac:dyDescent="0.3">
      <c r="C702" s="158">
        <f t="shared" si="117"/>
        <v>44601</v>
      </c>
      <c r="E702" s="241">
        <v>4866194</v>
      </c>
      <c r="F702" s="7"/>
      <c r="G702" s="7">
        <v>2136387</v>
      </c>
      <c r="H702" s="7"/>
      <c r="I702" s="7">
        <v>710669</v>
      </c>
      <c r="J702" s="244"/>
      <c r="K702" s="7">
        <f t="shared" ref="K702" si="184">SUM(E702:I702)</f>
        <v>7713250</v>
      </c>
      <c r="L702" s="6"/>
      <c r="M702" s="438">
        <f t="shared" ref="M702" si="185">+(K702-K701)/K701</f>
        <v>1.1849502363734941E-3</v>
      </c>
      <c r="N702" s="29"/>
      <c r="O702" s="29"/>
      <c r="P702" s="29"/>
      <c r="Q702" s="332">
        <f t="shared" ref="Q702" si="186">+K702-K701</f>
        <v>9129</v>
      </c>
      <c r="R702" s="6"/>
      <c r="S702" s="7">
        <f>66165+32187+10214</f>
        <v>108566</v>
      </c>
      <c r="T702" s="6"/>
      <c r="U702" s="243">
        <v>2.402125115017657E-2</v>
      </c>
      <c r="W702">
        <f t="shared" si="97"/>
        <v>692</v>
      </c>
      <c r="Y702" s="56"/>
    </row>
    <row r="703" spans="3:25" x14ac:dyDescent="0.3">
      <c r="C703" s="158">
        <f t="shared" si="117"/>
        <v>44602</v>
      </c>
      <c r="E703" s="241">
        <v>4873548</v>
      </c>
      <c r="F703" s="7"/>
      <c r="G703" s="7">
        <v>2139579</v>
      </c>
      <c r="H703" s="7"/>
      <c r="I703" s="7">
        <v>711695</v>
      </c>
      <c r="J703" s="244"/>
      <c r="K703" s="7">
        <f t="shared" ref="K703" si="187">SUM(E703:I703)</f>
        <v>7724822</v>
      </c>
      <c r="L703" s="6"/>
      <c r="M703" s="438">
        <f t="shared" ref="M703" si="188">+(K703-K702)/K702</f>
        <v>1.5002754999513823E-3</v>
      </c>
      <c r="N703" s="29"/>
      <c r="O703" s="29"/>
      <c r="P703" s="29"/>
      <c r="Q703" s="332">
        <f t="shared" ref="Q703" si="189">+K703-K702</f>
        <v>11572</v>
      </c>
      <c r="R703" s="6"/>
      <c r="S703" s="7">
        <f>66276+32260+10219</f>
        <v>108755</v>
      </c>
      <c r="T703" s="6"/>
      <c r="U703" s="243">
        <v>2.402125115017657E-2</v>
      </c>
      <c r="W703">
        <f t="shared" si="97"/>
        <v>693</v>
      </c>
      <c r="Y703" s="56"/>
    </row>
    <row r="704" spans="3:25" x14ac:dyDescent="0.3">
      <c r="C704" s="158">
        <f t="shared" si="117"/>
        <v>44603</v>
      </c>
      <c r="E704" s="241">
        <v>4878304</v>
      </c>
      <c r="F704" s="7"/>
      <c r="G704" s="7">
        <v>2142157</v>
      </c>
      <c r="H704" s="7"/>
      <c r="I704" s="7">
        <v>712884</v>
      </c>
      <c r="J704" s="244"/>
      <c r="K704" s="7">
        <f t="shared" ref="K704" si="190">SUM(E704:I704)</f>
        <v>7733345</v>
      </c>
      <c r="L704" s="6"/>
      <c r="M704" s="438">
        <f t="shared" ref="M704" si="191">+(K704-K703)/K703</f>
        <v>1.1033263937991063E-3</v>
      </c>
      <c r="N704" s="29"/>
      <c r="O704" s="29"/>
      <c r="P704" s="29"/>
      <c r="Q704" s="332">
        <f t="shared" ref="Q704" si="192">+K704-K703</f>
        <v>8523</v>
      </c>
      <c r="R704" s="6"/>
      <c r="S704" s="7">
        <f>66397+32319+10260</f>
        <v>108976</v>
      </c>
      <c r="T704" s="6"/>
      <c r="U704" s="243">
        <v>2.402125115017657E-2</v>
      </c>
      <c r="W704">
        <f t="shared" si="97"/>
        <v>694</v>
      </c>
      <c r="Y704" s="56"/>
    </row>
    <row r="705" spans="3:25" x14ac:dyDescent="0.3">
      <c r="C705" s="158">
        <f t="shared" si="117"/>
        <v>44604</v>
      </c>
      <c r="E705" s="241">
        <v>4881825</v>
      </c>
      <c r="F705" s="7"/>
      <c r="G705" s="7">
        <v>2144350</v>
      </c>
      <c r="H705" s="7"/>
      <c r="I705" s="7">
        <v>712884</v>
      </c>
      <c r="J705" s="244"/>
      <c r="K705" s="7">
        <f t="shared" ref="K705" si="193">SUM(E705:I705)</f>
        <v>7739059</v>
      </c>
      <c r="L705" s="6"/>
      <c r="M705" s="438">
        <f t="shared" ref="M705" si="194">+(K705-K704)/K704</f>
        <v>7.388781956578945E-4</v>
      </c>
      <c r="N705" s="29"/>
      <c r="O705" s="29"/>
      <c r="P705" s="29"/>
      <c r="Q705" s="332">
        <f t="shared" ref="Q705" si="195">+K705-K704</f>
        <v>5714</v>
      </c>
      <c r="R705" s="6"/>
      <c r="S705" s="7">
        <f>66431+32374+10260</f>
        <v>109065</v>
      </c>
      <c r="T705" s="6"/>
      <c r="U705" s="243">
        <v>2.402125115017657E-2</v>
      </c>
      <c r="W705">
        <f t="shared" si="97"/>
        <v>695</v>
      </c>
      <c r="Y705" s="56"/>
    </row>
    <row r="706" spans="3:25" x14ac:dyDescent="0.3">
      <c r="C706" s="347">
        <f t="shared" si="117"/>
        <v>44605</v>
      </c>
      <c r="E706" s="241">
        <v>4886180</v>
      </c>
      <c r="F706" s="7"/>
      <c r="G706" s="7">
        <v>2145147</v>
      </c>
      <c r="H706" s="7"/>
      <c r="I706" s="7">
        <v>712884</v>
      </c>
      <c r="J706" s="244"/>
      <c r="K706" s="7">
        <f t="shared" ref="K706" si="196">SUM(E706:I706)</f>
        <v>7744211</v>
      </c>
      <c r="L706" s="6"/>
      <c r="M706" s="438">
        <f t="shared" ref="M706" si="197">+(K706-K705)/K705</f>
        <v>6.6571400993324897E-4</v>
      </c>
      <c r="N706" s="29"/>
      <c r="O706" s="29"/>
      <c r="P706" s="29"/>
      <c r="Q706" s="332">
        <f t="shared" ref="Q706" si="198">+K706-K705</f>
        <v>5152</v>
      </c>
      <c r="R706" s="6"/>
      <c r="S706" s="7">
        <f>66431+32374+10260</f>
        <v>109065</v>
      </c>
      <c r="T706" s="6"/>
      <c r="U706" s="243">
        <v>2.402125115017657E-2</v>
      </c>
      <c r="W706">
        <f t="shared" si="97"/>
        <v>696</v>
      </c>
      <c r="Y706" s="56"/>
    </row>
    <row r="707" spans="3:25" x14ac:dyDescent="0.3">
      <c r="C707" s="158">
        <f t="shared" si="117"/>
        <v>44606</v>
      </c>
      <c r="E707" s="241">
        <v>4888634</v>
      </c>
      <c r="F707" s="7"/>
      <c r="G707" s="7">
        <v>2146285</v>
      </c>
      <c r="H707" s="7"/>
      <c r="I707" s="7">
        <v>714408</v>
      </c>
      <c r="J707" s="244"/>
      <c r="K707" s="7">
        <f t="shared" ref="K707" si="199">SUM(E707:I707)</f>
        <v>7749327</v>
      </c>
      <c r="L707" s="6"/>
      <c r="M707" s="438">
        <f t="shared" ref="M707" si="200">+(K707-K706)/K706</f>
        <v>6.6062249595213768E-4</v>
      </c>
      <c r="N707" s="29"/>
      <c r="O707" s="29"/>
      <c r="P707" s="29"/>
      <c r="Q707" s="332">
        <f t="shared" ref="Q707" si="201">+K707-K706</f>
        <v>5116</v>
      </c>
      <c r="R707" s="6"/>
      <c r="S707" s="7">
        <f>66554+33518+10260</f>
        <v>110332</v>
      </c>
      <c r="T707" s="6"/>
      <c r="U707" s="243">
        <v>2.402125115017657E-2</v>
      </c>
      <c r="W707">
        <f t="shared" si="97"/>
        <v>697</v>
      </c>
      <c r="Y707" s="56"/>
    </row>
    <row r="708" spans="3:25" x14ac:dyDescent="0.3">
      <c r="C708" s="158">
        <f t="shared" si="117"/>
        <v>44607</v>
      </c>
      <c r="E708" s="241">
        <v>4890903</v>
      </c>
      <c r="F708" s="7"/>
      <c r="G708" s="7">
        <v>2147857</v>
      </c>
      <c r="H708" s="7"/>
      <c r="I708" s="7">
        <v>715692</v>
      </c>
      <c r="J708" s="244"/>
      <c r="K708" s="7">
        <f t="shared" ref="K708" si="202">SUM(E708:I708)</f>
        <v>7754452</v>
      </c>
      <c r="L708" s="6"/>
      <c r="M708" s="438">
        <f t="shared" ref="M708" si="203">+(K708-K707)/K707</f>
        <v>6.6134775316617814E-4</v>
      </c>
      <c r="N708" s="29"/>
      <c r="O708" s="29"/>
      <c r="P708" s="29"/>
      <c r="Q708" s="332">
        <f t="shared" ref="Q708" si="204">+K708-K707</f>
        <v>5125</v>
      </c>
      <c r="R708" s="6"/>
      <c r="S708" s="7">
        <f>666689+32483+10320</f>
        <v>709492</v>
      </c>
      <c r="T708" s="6"/>
      <c r="U708" s="243">
        <v>2.402125115017657E-2</v>
      </c>
      <c r="W708">
        <f t="shared" si="97"/>
        <v>698</v>
      </c>
      <c r="Y708" s="56"/>
    </row>
    <row r="709" spans="3:25" x14ac:dyDescent="0.3">
      <c r="C709" s="158">
        <f t="shared" si="117"/>
        <v>44608</v>
      </c>
      <c r="E709" s="241">
        <v>4895156</v>
      </c>
      <c r="F709" s="7"/>
      <c r="G709" s="7">
        <v>2150351</v>
      </c>
      <c r="H709" s="7"/>
      <c r="I709" s="7">
        <v>717520</v>
      </c>
      <c r="J709" s="244"/>
      <c r="K709" s="7">
        <f t="shared" ref="K709" si="205">SUM(E709:I709)</f>
        <v>7763027</v>
      </c>
      <c r="L709" s="6"/>
      <c r="M709" s="438">
        <f t="shared" ref="M709" si="206">+(K709-K708)/K708</f>
        <v>1.1058163749030879E-3</v>
      </c>
      <c r="N709" s="29"/>
      <c r="O709" s="29"/>
      <c r="P709" s="29"/>
      <c r="Q709" s="332">
        <f t="shared" ref="Q709" si="207">+K709-K708</f>
        <v>8575</v>
      </c>
      <c r="R709" s="6"/>
      <c r="S709" s="7">
        <f>66768+32544+10318</f>
        <v>109630</v>
      </c>
      <c r="T709" s="6"/>
      <c r="U709" s="243">
        <v>2.402125115017657E-2</v>
      </c>
      <c r="W709">
        <f t="shared" si="97"/>
        <v>699</v>
      </c>
      <c r="Y709" s="56"/>
    </row>
    <row r="710" spans="3:25" x14ac:dyDescent="0.3">
      <c r="C710" s="158">
        <f t="shared" si="117"/>
        <v>44609</v>
      </c>
      <c r="E710" s="241">
        <v>4898887</v>
      </c>
      <c r="F710" s="7"/>
      <c r="G710" s="7">
        <v>2153093</v>
      </c>
      <c r="H710" s="7"/>
      <c r="I710" s="7">
        <v>718064</v>
      </c>
      <c r="J710" s="244"/>
      <c r="K710" s="7">
        <f t="shared" ref="K710" si="208">SUM(E710:I710)</f>
        <v>7770044</v>
      </c>
      <c r="L710" s="6"/>
      <c r="M710" s="438">
        <f t="shared" ref="M710" si="209">+(K710-K709)/K709</f>
        <v>9.0389998643570352E-4</v>
      </c>
      <c r="N710" s="29"/>
      <c r="O710" s="29"/>
      <c r="P710" s="29"/>
      <c r="Q710" s="332">
        <f t="shared" ref="Q710" si="210">+K710-K709</f>
        <v>7017</v>
      </c>
      <c r="R710" s="6"/>
      <c r="S710" s="7">
        <f>66841+32609+10324</f>
        <v>109774</v>
      </c>
      <c r="T710" s="6"/>
      <c r="U710" s="243">
        <v>2.402125115017657E-2</v>
      </c>
      <c r="W710">
        <f t="shared" si="97"/>
        <v>700</v>
      </c>
      <c r="Y710" s="56"/>
    </row>
    <row r="711" spans="3:25" x14ac:dyDescent="0.3">
      <c r="C711" s="158">
        <f t="shared" si="117"/>
        <v>44610</v>
      </c>
      <c r="E711" s="241">
        <v>4903700</v>
      </c>
      <c r="F711" s="7"/>
      <c r="G711" s="7">
        <v>2155400</v>
      </c>
      <c r="H711" s="7"/>
      <c r="I711" s="7">
        <v>719327</v>
      </c>
      <c r="J711" s="244"/>
      <c r="K711" s="7">
        <f t="shared" ref="K711" si="211">SUM(E711:I711)</f>
        <v>7778427</v>
      </c>
      <c r="L711" s="6"/>
      <c r="M711" s="438">
        <f t="shared" ref="M711" si="212">+(K711-K710)/K710</f>
        <v>1.078887069365373E-3</v>
      </c>
      <c r="N711" s="29"/>
      <c r="O711" s="29"/>
      <c r="P711" s="29"/>
      <c r="Q711" s="332">
        <f t="shared" ref="Q711" si="213">+K711-K710</f>
        <v>8383</v>
      </c>
      <c r="R711" s="6"/>
      <c r="S711" s="7">
        <f>66919+32647+10357</f>
        <v>109923</v>
      </c>
      <c r="T711" s="6"/>
      <c r="U711" s="243">
        <v>2.402125115017657E-2</v>
      </c>
      <c r="W711">
        <f t="shared" si="97"/>
        <v>701</v>
      </c>
      <c r="Y711" s="56"/>
    </row>
    <row r="712" spans="3:25" x14ac:dyDescent="0.3">
      <c r="C712" s="158">
        <f t="shared" si="117"/>
        <v>44611</v>
      </c>
      <c r="E712" s="241">
        <v>4906178</v>
      </c>
      <c r="F712" s="7"/>
      <c r="G712" s="7">
        <v>2155400</v>
      </c>
      <c r="H712" s="7"/>
      <c r="I712" s="7">
        <v>719327</v>
      </c>
      <c r="J712" s="244"/>
      <c r="K712" s="7">
        <f t="shared" ref="K712" si="214">SUM(E712:I712)</f>
        <v>7780905</v>
      </c>
      <c r="L712" s="6"/>
      <c r="M712" s="438">
        <f t="shared" ref="M712" si="215">+(K712-K711)/K711</f>
        <v>3.1857340822251081E-4</v>
      </c>
      <c r="N712" s="29"/>
      <c r="O712" s="29"/>
      <c r="P712" s="29"/>
      <c r="Q712" s="332">
        <f t="shared" ref="Q712" si="216">+K712-K711</f>
        <v>2478</v>
      </c>
      <c r="R712" s="6"/>
      <c r="S712" s="7">
        <f>66939+32647+10357</f>
        <v>109943</v>
      </c>
      <c r="T712" s="6"/>
      <c r="U712" s="243">
        <v>2.402125115017657E-2</v>
      </c>
      <c r="W712">
        <f t="shared" si="97"/>
        <v>702</v>
      </c>
      <c r="Y712" s="56"/>
    </row>
    <row r="713" spans="3:25" x14ac:dyDescent="0.3">
      <c r="C713" s="347">
        <f t="shared" si="117"/>
        <v>44612</v>
      </c>
      <c r="E713" s="241">
        <v>4908315</v>
      </c>
      <c r="F713" s="7"/>
      <c r="G713" s="7">
        <v>2155400</v>
      </c>
      <c r="H713" s="7"/>
      <c r="I713" s="7">
        <v>719327</v>
      </c>
      <c r="J713" s="244"/>
      <c r="K713" s="7">
        <f t="shared" ref="K713" si="217">SUM(E713:I713)</f>
        <v>7783042</v>
      </c>
      <c r="L713" s="6"/>
      <c r="M713" s="438">
        <f t="shared" ref="M713" si="218">+(K713-K712)/K712</f>
        <v>2.7464671525998581E-4</v>
      </c>
      <c r="N713" s="29"/>
      <c r="O713" s="29"/>
      <c r="P713" s="29"/>
      <c r="Q713" s="332">
        <f t="shared" ref="Q713" si="219">+K713-K712</f>
        <v>2137</v>
      </c>
      <c r="R713" s="6"/>
      <c r="S713" s="7">
        <f>66966+32647+10357</f>
        <v>109970</v>
      </c>
      <c r="T713" s="6"/>
      <c r="U713" s="243">
        <v>2.402125115017657E-2</v>
      </c>
      <c r="W713">
        <f t="shared" si="97"/>
        <v>703</v>
      </c>
      <c r="Y713" s="56"/>
    </row>
    <row r="714" spans="3:25" x14ac:dyDescent="0.3">
      <c r="C714" s="158">
        <f t="shared" si="117"/>
        <v>44613</v>
      </c>
      <c r="E714" s="241">
        <v>4910920</v>
      </c>
      <c r="F714" s="7"/>
      <c r="G714" s="7">
        <v>2155400</v>
      </c>
      <c r="H714" s="7"/>
      <c r="I714" s="7">
        <v>720618</v>
      </c>
      <c r="J714" s="244"/>
      <c r="K714" s="7">
        <f t="shared" ref="K714" si="220">SUM(E714:I714)</f>
        <v>7786938</v>
      </c>
      <c r="L714" s="6"/>
      <c r="M714" s="438">
        <f t="shared" ref="M714" si="221">+(K714-K713)/K713</f>
        <v>5.0057548192596155E-4</v>
      </c>
      <c r="N714" s="29"/>
      <c r="O714" s="29"/>
      <c r="P714" s="29"/>
      <c r="Q714" s="332">
        <f t="shared" ref="Q714" si="222">+K714-K713</f>
        <v>3896</v>
      </c>
      <c r="R714" s="6"/>
      <c r="S714" s="7">
        <f>67034+32647+10374</f>
        <v>110055</v>
      </c>
      <c r="T714" s="6"/>
      <c r="U714" s="243">
        <v>2.402125115017657E-2</v>
      </c>
      <c r="W714">
        <f t="shared" si="97"/>
        <v>704</v>
      </c>
      <c r="Y714" s="56"/>
    </row>
    <row r="715" spans="3:25" x14ac:dyDescent="0.3">
      <c r="C715" s="158">
        <f t="shared" si="117"/>
        <v>44614</v>
      </c>
      <c r="E715" s="241">
        <v>4912831</v>
      </c>
      <c r="F715" s="7"/>
      <c r="G715" s="7">
        <v>2160023</v>
      </c>
      <c r="H715" s="7"/>
      <c r="I715" s="7">
        <v>720956</v>
      </c>
      <c r="J715" s="244"/>
      <c r="K715" s="7">
        <f t="shared" ref="K715" si="223">SUM(E715:I715)</f>
        <v>7793810</v>
      </c>
      <c r="L715" s="6"/>
      <c r="M715" s="438">
        <f t="shared" ref="M715" si="224">+(K715-K714)/K714</f>
        <v>8.8250349495527E-4</v>
      </c>
      <c r="N715" s="29"/>
      <c r="O715" s="29"/>
      <c r="P715" s="29"/>
      <c r="Q715" s="332">
        <f t="shared" ref="Q715" si="225">+K715-K714</f>
        <v>6872</v>
      </c>
      <c r="R715" s="6"/>
      <c r="S715" s="7">
        <f>67103+32731+10374</f>
        <v>110208</v>
      </c>
      <c r="T715" s="6"/>
      <c r="U715" s="243">
        <v>2.402125115017657E-2</v>
      </c>
      <c r="W715">
        <f t="shared" si="97"/>
        <v>705</v>
      </c>
      <c r="Y715" s="56"/>
    </row>
    <row r="716" spans="3:25" x14ac:dyDescent="0.3">
      <c r="C716" s="158">
        <f t="shared" si="117"/>
        <v>44615</v>
      </c>
      <c r="E716" s="241">
        <v>4915054</v>
      </c>
      <c r="F716" s="7"/>
      <c r="G716" s="7">
        <v>2161190</v>
      </c>
      <c r="H716" s="7"/>
      <c r="I716" s="7">
        <v>721496</v>
      </c>
      <c r="J716" s="244"/>
      <c r="K716" s="7">
        <f t="shared" ref="K716" si="226">SUM(E716:I716)</f>
        <v>7797740</v>
      </c>
      <c r="L716" s="6"/>
      <c r="M716" s="438">
        <f t="shared" ref="M716" si="227">+(K716-K715)/K715</f>
        <v>5.0424631855280021E-4</v>
      </c>
      <c r="N716" s="29"/>
      <c r="O716" s="29"/>
      <c r="P716" s="29"/>
      <c r="Q716" s="332">
        <f t="shared" ref="Q716" si="228">+K716-K715</f>
        <v>3930</v>
      </c>
      <c r="R716" s="6"/>
      <c r="S716" s="7">
        <f>67161+32800+10438</f>
        <v>110399</v>
      </c>
      <c r="T716" s="6"/>
      <c r="U716" s="243">
        <v>2.402125115017657E-2</v>
      </c>
      <c r="W716">
        <f t="shared" si="97"/>
        <v>706</v>
      </c>
      <c r="Y716" s="56"/>
    </row>
    <row r="717" spans="3:25" x14ac:dyDescent="0.3">
      <c r="C717" s="158">
        <f t="shared" si="117"/>
        <v>44616</v>
      </c>
      <c r="E717" s="241">
        <v>4917723</v>
      </c>
      <c r="F717" s="7"/>
      <c r="G717" s="7">
        <v>2161190</v>
      </c>
      <c r="H717" s="7"/>
      <c r="I717" s="7">
        <v>721954</v>
      </c>
      <c r="J717" s="244"/>
      <c r="K717" s="7">
        <f t="shared" ref="K717" si="229">SUM(E717:I717)</f>
        <v>7800867</v>
      </c>
      <c r="L717" s="6"/>
      <c r="M717" s="438">
        <f t="shared" ref="M717" si="230">+(K717-K716)/K716</f>
        <v>4.0101362702526632E-4</v>
      </c>
      <c r="N717" s="29"/>
      <c r="O717" s="29"/>
      <c r="P717" s="29"/>
      <c r="Q717" s="332">
        <f t="shared" ref="Q717" si="231">+K717-K716</f>
        <v>3127</v>
      </c>
      <c r="R717" s="6"/>
      <c r="S717" s="7">
        <f>67220+32800+10443</f>
        <v>110463</v>
      </c>
      <c r="T717" s="6"/>
      <c r="U717" s="243">
        <v>2.402125115017657E-2</v>
      </c>
      <c r="W717">
        <f t="shared" si="97"/>
        <v>707</v>
      </c>
      <c r="Y717" s="56"/>
    </row>
    <row r="718" spans="3:25" x14ac:dyDescent="0.3">
      <c r="C718" s="158">
        <f t="shared" si="117"/>
        <v>44617</v>
      </c>
      <c r="E718" s="241">
        <v>4920073</v>
      </c>
      <c r="F718" s="7"/>
      <c r="G718" s="7">
        <v>2164368</v>
      </c>
      <c r="H718" s="7"/>
      <c r="I718" s="7">
        <v>722377</v>
      </c>
      <c r="J718" s="244"/>
      <c r="K718" s="7">
        <f t="shared" ref="K718" si="232">SUM(E718:I718)</f>
        <v>7806818</v>
      </c>
      <c r="L718" s="6"/>
      <c r="M718" s="438">
        <f t="shared" ref="M718" si="233">+(K718-K717)/K717</f>
        <v>7.6286392268961895E-4</v>
      </c>
      <c r="N718" s="29"/>
      <c r="O718" s="29"/>
      <c r="P718" s="29"/>
      <c r="Q718" s="332">
        <f t="shared" ref="Q718" si="234">+K718-K717</f>
        <v>5951</v>
      </c>
      <c r="R718" s="6"/>
      <c r="S718" s="7">
        <f>67275+32857+10465</f>
        <v>110597</v>
      </c>
      <c r="T718" s="6"/>
      <c r="U718" s="243">
        <v>2.402125115017657E-2</v>
      </c>
      <c r="W718">
        <f t="shared" si="97"/>
        <v>708</v>
      </c>
      <c r="Y718" s="56"/>
    </row>
    <row r="719" spans="3:25" x14ac:dyDescent="0.3">
      <c r="C719" s="158">
        <f t="shared" si="117"/>
        <v>44618</v>
      </c>
      <c r="E719" s="241">
        <v>4922916</v>
      </c>
      <c r="F719" s="7"/>
      <c r="G719" s="7">
        <v>2165484</v>
      </c>
      <c r="H719" s="7"/>
      <c r="I719" s="7">
        <v>722377</v>
      </c>
      <c r="J719" s="244"/>
      <c r="K719" s="7">
        <f t="shared" ref="K719" si="235">SUM(E719:I719)</f>
        <v>7810777</v>
      </c>
      <c r="L719" s="6"/>
      <c r="M719" s="438">
        <f t="shared" ref="M719" si="236">+(K719-K718)/K718</f>
        <v>5.071208269489567E-4</v>
      </c>
      <c r="N719" s="29"/>
      <c r="O719" s="29"/>
      <c r="P719" s="29"/>
      <c r="Q719" s="332">
        <f t="shared" ref="Q719" si="237">+K719-K718</f>
        <v>3959</v>
      </c>
      <c r="R719" s="6"/>
      <c r="S719" s="7">
        <f>67300+32888+10465</f>
        <v>110653</v>
      </c>
      <c r="T719" s="6"/>
      <c r="U719" s="243">
        <v>2.402125115017657E-2</v>
      </c>
      <c r="W719">
        <f t="shared" si="97"/>
        <v>709</v>
      </c>
      <c r="Y719" s="56"/>
    </row>
    <row r="720" spans="3:25" x14ac:dyDescent="0.3">
      <c r="C720" s="347">
        <f t="shared" si="117"/>
        <v>44619</v>
      </c>
      <c r="E720" s="241">
        <v>4924032</v>
      </c>
      <c r="F720" s="7"/>
      <c r="G720" s="7">
        <v>2166758</v>
      </c>
      <c r="H720" s="7"/>
      <c r="I720" s="7">
        <v>722377</v>
      </c>
      <c r="J720" s="244"/>
      <c r="K720" s="7">
        <f t="shared" ref="K720" si="238">SUM(E720:I720)</f>
        <v>7813167</v>
      </c>
      <c r="L720" s="6"/>
      <c r="M720" s="438">
        <f t="shared" ref="M720" si="239">+(K720-K719)/K719</f>
        <v>3.0598748370360595E-4</v>
      </c>
      <c r="N720" s="29"/>
      <c r="O720" s="29"/>
      <c r="P720" s="29"/>
      <c r="Q720" s="332">
        <f t="shared" ref="Q720" si="240">+K720-K719</f>
        <v>2390</v>
      </c>
      <c r="R720" s="6"/>
      <c r="S720" s="7">
        <f>67344+23370+10465</f>
        <v>101179</v>
      </c>
      <c r="T720" s="6"/>
      <c r="U720" s="243">
        <v>2.402125115017657E-2</v>
      </c>
      <c r="W720">
        <f t="shared" si="97"/>
        <v>710</v>
      </c>
      <c r="Y720" s="56"/>
    </row>
    <row r="721" spans="3:25" x14ac:dyDescent="0.3">
      <c r="C721" s="158">
        <f>+C720+1</f>
        <v>44620</v>
      </c>
      <c r="E721" s="241">
        <v>4925221</v>
      </c>
      <c r="F721" s="7"/>
      <c r="G721" s="7">
        <v>2167515</v>
      </c>
      <c r="H721" s="7"/>
      <c r="I721" s="7">
        <v>723389</v>
      </c>
      <c r="J721" s="244"/>
      <c r="K721" s="7">
        <f t="shared" ref="K721" si="241">SUM(E721:I721)</f>
        <v>7816125</v>
      </c>
      <c r="L721" s="6"/>
      <c r="M721" s="438">
        <f t="shared" ref="M721" si="242">+(K721-K720)/K720</f>
        <v>3.7859167735695395E-4</v>
      </c>
      <c r="N721" s="29"/>
      <c r="O721" s="29"/>
      <c r="P721" s="29"/>
      <c r="Q721" s="332">
        <f t="shared" ref="Q721" si="243">+K721-K720</f>
        <v>2958</v>
      </c>
      <c r="R721" s="6"/>
      <c r="S721" s="7">
        <f>67358+32915+10470</f>
        <v>110743</v>
      </c>
      <c r="T721" s="6"/>
      <c r="U721" s="243">
        <v>2.402125115017657E-2</v>
      </c>
      <c r="W721">
        <f t="shared" si="97"/>
        <v>711</v>
      </c>
      <c r="Y721" s="56"/>
    </row>
    <row r="722" spans="3:25" x14ac:dyDescent="0.3">
      <c r="C722" s="158">
        <f t="shared" ref="C722:C834" si="244">+C721+1</f>
        <v>44621</v>
      </c>
      <c r="E722" s="241">
        <v>4926708</v>
      </c>
      <c r="F722" s="7"/>
      <c r="G722" s="7">
        <v>2168631</v>
      </c>
      <c r="H722" s="7"/>
      <c r="I722" s="7">
        <v>723559</v>
      </c>
      <c r="J722" s="244"/>
      <c r="K722" s="7">
        <f t="shared" ref="K722" si="245">SUM(E722:I722)</f>
        <v>7818898</v>
      </c>
      <c r="L722" s="6"/>
      <c r="M722" s="438">
        <f t="shared" ref="M722" si="246">+(K722-K721)/K721</f>
        <v>3.5477938236658192E-4</v>
      </c>
      <c r="N722" s="29"/>
      <c r="O722" s="29"/>
      <c r="P722" s="29"/>
      <c r="Q722" s="332">
        <f t="shared" ref="Q722" si="247">+K722-K721</f>
        <v>2773</v>
      </c>
      <c r="R722" s="6"/>
      <c r="S722" s="7">
        <f>67409+32951+10471</f>
        <v>110831</v>
      </c>
      <c r="T722" s="6"/>
      <c r="U722" s="243">
        <v>2.402125115017657E-2</v>
      </c>
      <c r="W722">
        <f t="shared" si="97"/>
        <v>712</v>
      </c>
      <c r="Y722" s="56"/>
    </row>
    <row r="723" spans="3:25" x14ac:dyDescent="0.3">
      <c r="C723" s="158">
        <f t="shared" si="244"/>
        <v>44622</v>
      </c>
      <c r="E723" s="241">
        <v>4928597</v>
      </c>
      <c r="F723" s="7"/>
      <c r="G723" s="7">
        <v>2170061</v>
      </c>
      <c r="H723" s="7"/>
      <c r="I723" s="7">
        <v>723812</v>
      </c>
      <c r="J723" s="244"/>
      <c r="K723" s="7">
        <f t="shared" ref="K723" si="248">SUM(E723:I723)</f>
        <v>7822470</v>
      </c>
      <c r="L723" s="6"/>
      <c r="M723" s="438">
        <f t="shared" ref="M723" si="249">+(K723-K722)/K722</f>
        <v>4.5684187208990321E-4</v>
      </c>
      <c r="N723" s="29"/>
      <c r="O723" s="29"/>
      <c r="P723" s="29"/>
      <c r="Q723" s="332">
        <f t="shared" ref="Q723" si="250">+K723-K722</f>
        <v>3572</v>
      </c>
      <c r="R723" s="6"/>
      <c r="S723" s="7">
        <f>67447+32966+10512</f>
        <v>110925</v>
      </c>
      <c r="T723" s="6"/>
      <c r="U723" s="243">
        <v>2.402125115017657E-2</v>
      </c>
      <c r="W723">
        <f t="shared" si="97"/>
        <v>713</v>
      </c>
      <c r="Y723" s="56"/>
    </row>
    <row r="724" spans="3:25" x14ac:dyDescent="0.3">
      <c r="C724" s="158">
        <f t="shared" si="244"/>
        <v>44623</v>
      </c>
      <c r="E724" s="241">
        <v>4930987</v>
      </c>
      <c r="F724" s="7"/>
      <c r="G724" s="7">
        <v>2171339</v>
      </c>
      <c r="H724" s="7"/>
      <c r="I724" s="7">
        <v>724401</v>
      </c>
      <c r="J724" s="244"/>
      <c r="K724" s="7">
        <f t="shared" ref="K724" si="251">SUM(E724:I724)</f>
        <v>7826727</v>
      </c>
      <c r="L724" s="6"/>
      <c r="M724" s="438">
        <f t="shared" ref="M724" si="252">+(K724-K723)/K723</f>
        <v>5.4420151179870294E-4</v>
      </c>
      <c r="N724" s="29"/>
      <c r="O724" s="29"/>
      <c r="P724" s="29"/>
      <c r="Q724" s="332">
        <f t="shared" ref="Q724" si="253">+K724-K723</f>
        <v>4257</v>
      </c>
      <c r="R724" s="6"/>
      <c r="S724" s="7">
        <f>67479+32982+10515</f>
        <v>110976</v>
      </c>
      <c r="T724" s="6"/>
      <c r="U724" s="243">
        <v>2.402125115017657E-2</v>
      </c>
      <c r="W724">
        <f t="shared" si="97"/>
        <v>714</v>
      </c>
      <c r="Y724" s="56"/>
    </row>
    <row r="725" spans="3:25" x14ac:dyDescent="0.3">
      <c r="C725" s="158">
        <f t="shared" si="244"/>
        <v>44624</v>
      </c>
      <c r="E725" s="241">
        <v>4931337</v>
      </c>
      <c r="F725" s="7"/>
      <c r="G725" s="7">
        <v>2172771</v>
      </c>
      <c r="H725" s="7"/>
      <c r="I725" s="7">
        <v>724833</v>
      </c>
      <c r="J725" s="244"/>
      <c r="K725" s="7">
        <f t="shared" ref="K725" si="254">SUM(E725:I725)</f>
        <v>7828941</v>
      </c>
      <c r="L725" s="6"/>
      <c r="M725" s="438">
        <f t="shared" ref="M725" si="255">+(K725-K724)/K724</f>
        <v>2.8287686538702576E-4</v>
      </c>
      <c r="N725" s="29"/>
      <c r="O725" s="29"/>
      <c r="P725" s="29"/>
      <c r="Q725" s="332">
        <f t="shared" ref="Q725" si="256">+K725-K724</f>
        <v>2214</v>
      </c>
      <c r="R725" s="6"/>
      <c r="S725" s="7">
        <f>67511+32999+10543</f>
        <v>111053</v>
      </c>
      <c r="T725" s="6"/>
      <c r="U725" s="243">
        <v>2.402125115017657E-2</v>
      </c>
      <c r="W725">
        <f t="shared" si="97"/>
        <v>715</v>
      </c>
      <c r="Y725" s="56"/>
    </row>
    <row r="726" spans="3:25" x14ac:dyDescent="0.3">
      <c r="C726" s="158">
        <f t="shared" si="244"/>
        <v>44625</v>
      </c>
      <c r="E726" s="241">
        <v>4934709</v>
      </c>
      <c r="F726" s="7"/>
      <c r="G726" s="7">
        <v>2173813</v>
      </c>
      <c r="H726" s="7"/>
      <c r="I726" s="7">
        <v>724833</v>
      </c>
      <c r="J726" s="244"/>
      <c r="K726" s="7">
        <f t="shared" ref="K726" si="257">SUM(E726:I726)</f>
        <v>7833355</v>
      </c>
      <c r="L726" s="6"/>
      <c r="M726" s="438">
        <f t="shared" ref="M726" si="258">+(K726-K725)/K725</f>
        <v>5.6380550064178542E-4</v>
      </c>
      <c r="N726" s="29"/>
      <c r="O726" s="29"/>
      <c r="P726" s="29"/>
      <c r="Q726" s="332">
        <f t="shared" ref="Q726" si="259">+K726-K725</f>
        <v>4414</v>
      </c>
      <c r="R726" s="6"/>
      <c r="S726" s="7">
        <f>67523+33005+10543</f>
        <v>111071</v>
      </c>
      <c r="T726" s="6"/>
      <c r="U726" s="243">
        <v>2.402125115017657E-2</v>
      </c>
      <c r="W726">
        <f t="shared" si="97"/>
        <v>716</v>
      </c>
      <c r="Y726" s="56"/>
    </row>
    <row r="727" spans="3:25" x14ac:dyDescent="0.3">
      <c r="C727" s="347">
        <f t="shared" si="244"/>
        <v>44626</v>
      </c>
      <c r="E727" s="241">
        <v>4937052</v>
      </c>
      <c r="F727" s="7"/>
      <c r="G727" s="7">
        <v>2174473</v>
      </c>
      <c r="H727" s="7"/>
      <c r="I727" s="7">
        <v>724833</v>
      </c>
      <c r="J727" s="244"/>
      <c r="K727" s="7">
        <f t="shared" ref="K727" si="260">SUM(E727:I727)</f>
        <v>7836358</v>
      </c>
      <c r="L727" s="6"/>
      <c r="M727" s="438">
        <f t="shared" ref="M727" si="261">+(K727-K726)/K726</f>
        <v>3.8336064176843767E-4</v>
      </c>
      <c r="N727" s="29"/>
      <c r="O727" s="29"/>
      <c r="P727" s="29"/>
      <c r="Q727" s="332">
        <f t="shared" ref="Q727" si="262">+K727-K726</f>
        <v>3003</v>
      </c>
      <c r="R727" s="6"/>
      <c r="S727" s="7">
        <f>67556+33011+10543</f>
        <v>111110</v>
      </c>
      <c r="T727" s="6"/>
      <c r="U727" s="243">
        <v>2.402125115017657E-2</v>
      </c>
      <c r="W727">
        <f t="shared" si="97"/>
        <v>717</v>
      </c>
      <c r="Y727" s="56"/>
    </row>
    <row r="728" spans="3:25" x14ac:dyDescent="0.3">
      <c r="C728" s="158">
        <f t="shared" si="244"/>
        <v>44627</v>
      </c>
      <c r="E728" s="241">
        <v>4938085</v>
      </c>
      <c r="F728" s="7"/>
      <c r="G728" s="7">
        <v>2175439</v>
      </c>
      <c r="H728" s="7"/>
      <c r="I728" s="7">
        <v>727542</v>
      </c>
      <c r="J728" s="244"/>
      <c r="K728" s="7">
        <f t="shared" ref="K728" si="263">SUM(E728:I728)</f>
        <v>7841066</v>
      </c>
      <c r="L728" s="6"/>
      <c r="M728" s="438">
        <f t="shared" ref="M728" si="264">+(K728-K727)/K727</f>
        <v>6.0078929523127965E-4</v>
      </c>
      <c r="N728" s="29"/>
      <c r="O728" s="29"/>
      <c r="P728" s="29"/>
      <c r="Q728" s="332">
        <f t="shared" ref="Q728" si="265">+K728-K727</f>
        <v>4708</v>
      </c>
      <c r="R728" s="6"/>
      <c r="S728" s="7">
        <f>67571+33027+10542</f>
        <v>111140</v>
      </c>
      <c r="T728" s="6"/>
      <c r="U728" s="243">
        <v>2.402125115017657E-2</v>
      </c>
      <c r="W728">
        <f t="shared" si="97"/>
        <v>718</v>
      </c>
      <c r="Y728" s="56"/>
    </row>
    <row r="729" spans="3:25" x14ac:dyDescent="0.3">
      <c r="C729" s="158">
        <f t="shared" si="244"/>
        <v>44628</v>
      </c>
      <c r="E729" s="241">
        <v>4939110</v>
      </c>
      <c r="F729" s="7"/>
      <c r="G729" s="7">
        <v>2176633</v>
      </c>
      <c r="H729" s="7"/>
      <c r="I729" s="7">
        <v>728733</v>
      </c>
      <c r="J729" s="244"/>
      <c r="K729" s="7">
        <f t="shared" ref="K729" si="266">SUM(E729:I729)</f>
        <v>7844476</v>
      </c>
      <c r="L729" s="6"/>
      <c r="M729" s="438">
        <f t="shared" ref="M729" si="267">+(K729-K728)/K728</f>
        <v>4.3488984788547883E-4</v>
      </c>
      <c r="N729" s="29"/>
      <c r="O729" s="29"/>
      <c r="P729" s="29"/>
      <c r="Q729" s="332">
        <f t="shared" ref="Q729" si="268">+K729-K728</f>
        <v>3410</v>
      </c>
      <c r="R729" s="6"/>
      <c r="S729" s="7">
        <f>67607+33050+10591</f>
        <v>111248</v>
      </c>
      <c r="T729" s="6"/>
      <c r="U729" s="243">
        <v>2.402125115017657E-2</v>
      </c>
      <c r="W729">
        <f t="shared" si="97"/>
        <v>719</v>
      </c>
      <c r="Y729" s="56"/>
    </row>
    <row r="730" spans="3:25" x14ac:dyDescent="0.3">
      <c r="C730" s="158">
        <f t="shared" si="244"/>
        <v>44629</v>
      </c>
      <c r="E730" s="241">
        <v>4940801</v>
      </c>
      <c r="F730" s="7"/>
      <c r="G730" s="7">
        <v>2177598</v>
      </c>
      <c r="H730" s="7"/>
      <c r="I730" s="7">
        <v>729063</v>
      </c>
      <c r="J730" s="244"/>
      <c r="K730" s="7">
        <f t="shared" ref="K730" si="269">SUM(E730:I730)</f>
        <v>7847462</v>
      </c>
      <c r="L730" s="6"/>
      <c r="M730" s="438">
        <f t="shared" ref="M730" si="270">+(K730-K729)/K729</f>
        <v>3.8065002684691749E-4</v>
      </c>
      <c r="N730" s="29"/>
      <c r="O730" s="29"/>
      <c r="P730" s="29"/>
      <c r="Q730" s="332">
        <f t="shared" ref="Q730" si="271">+K730-K729</f>
        <v>2986</v>
      </c>
      <c r="R730" s="6"/>
      <c r="S730" s="7">
        <f>67611+33054+10609</f>
        <v>111274</v>
      </c>
      <c r="T730" s="6"/>
      <c r="U730" s="243">
        <v>2.402125115017657E-2</v>
      </c>
      <c r="W730">
        <f t="shared" si="97"/>
        <v>720</v>
      </c>
      <c r="Y730" s="56"/>
    </row>
    <row r="731" spans="3:25" x14ac:dyDescent="0.3">
      <c r="C731" s="158">
        <f t="shared" si="244"/>
        <v>44630</v>
      </c>
      <c r="E731" s="241">
        <v>4942548</v>
      </c>
      <c r="F731" s="7"/>
      <c r="G731" s="7">
        <v>2178976</v>
      </c>
      <c r="H731" s="7"/>
      <c r="I731" s="7">
        <v>729354</v>
      </c>
      <c r="J731" s="244"/>
      <c r="K731" s="7">
        <f t="shared" ref="K731" si="272">SUM(E731:I731)</f>
        <v>7850878</v>
      </c>
      <c r="L731" s="6"/>
      <c r="M731" s="438">
        <f t="shared" ref="M731" si="273">+(K731-K730)/K730</f>
        <v>4.3529997341815738E-4</v>
      </c>
      <c r="N731" s="29"/>
      <c r="O731" s="29"/>
      <c r="P731" s="29"/>
      <c r="Q731" s="332">
        <f t="shared" ref="Q731" si="274">+K731-K730</f>
        <v>3416</v>
      </c>
      <c r="R731" s="6"/>
      <c r="S731" s="7">
        <f>67611+33054+10609</f>
        <v>111274</v>
      </c>
      <c r="T731" s="6"/>
      <c r="U731" s="243">
        <v>2.402125115017657E-2</v>
      </c>
      <c r="W731">
        <f t="shared" si="97"/>
        <v>721</v>
      </c>
      <c r="Y731" s="56"/>
    </row>
    <row r="732" spans="3:25" x14ac:dyDescent="0.3">
      <c r="C732" s="158">
        <f t="shared" si="244"/>
        <v>44631</v>
      </c>
      <c r="E732" s="241">
        <v>4944777</v>
      </c>
      <c r="F732" s="7"/>
      <c r="G732" s="7">
        <v>2180216</v>
      </c>
      <c r="H732" s="7"/>
      <c r="I732" s="7">
        <v>729697</v>
      </c>
      <c r="J732" s="244"/>
      <c r="K732" s="7">
        <f t="shared" ref="K732" si="275">SUM(E732:I732)</f>
        <v>7854690</v>
      </c>
      <c r="L732" s="6"/>
      <c r="M732" s="438">
        <f t="shared" ref="M732" si="276">+(K732-K731)/K731</f>
        <v>4.8555078807746089E-4</v>
      </c>
      <c r="N732" s="29"/>
      <c r="O732" s="29"/>
      <c r="P732" s="29"/>
      <c r="Q732" s="332">
        <f t="shared" ref="Q732" si="277">+K732-K731</f>
        <v>3812</v>
      </c>
      <c r="R732" s="6"/>
      <c r="S732" s="7">
        <f>67643+33087+10648</f>
        <v>111378</v>
      </c>
      <c r="T732" s="6"/>
      <c r="U732" s="243">
        <v>2.402125115017657E-2</v>
      </c>
      <c r="W732">
        <f t="shared" si="97"/>
        <v>722</v>
      </c>
      <c r="Y732" s="56"/>
    </row>
    <row r="733" spans="3:25" x14ac:dyDescent="0.3">
      <c r="C733" s="158">
        <f t="shared" si="244"/>
        <v>44632</v>
      </c>
      <c r="E733" s="241">
        <f>4946173-500</f>
        <v>4945673</v>
      </c>
      <c r="F733" s="7"/>
      <c r="G733" s="7">
        <f>2180930-350</f>
        <v>2180580</v>
      </c>
      <c r="H733" s="579" t="s">
        <v>26</v>
      </c>
      <c r="I733" s="7">
        <f>729697-100</f>
        <v>729597</v>
      </c>
      <c r="J733" s="244"/>
      <c r="K733" s="7">
        <f t="shared" ref="K733" si="278">SUM(E733:I733)</f>
        <v>7855850</v>
      </c>
      <c r="L733" s="6"/>
      <c r="M733" s="438">
        <f t="shared" ref="M733" si="279">+(K733-K732)/K732</f>
        <v>1.4768246741755562E-4</v>
      </c>
      <c r="N733" s="29"/>
      <c r="O733" s="29"/>
      <c r="P733" s="29"/>
      <c r="Q733" s="332">
        <f t="shared" ref="Q733" si="280">+K733-K732</f>
        <v>1160</v>
      </c>
      <c r="R733" s="6"/>
      <c r="S733" s="7">
        <f>67657+33102+10648</f>
        <v>111407</v>
      </c>
      <c r="T733" s="6"/>
      <c r="U733" s="243">
        <v>2.402125115017657E-2</v>
      </c>
      <c r="W733">
        <f t="shared" si="97"/>
        <v>723</v>
      </c>
      <c r="Y733" s="56"/>
    </row>
    <row r="734" spans="3:25" x14ac:dyDescent="0.3">
      <c r="C734" s="347">
        <f t="shared" si="244"/>
        <v>44633</v>
      </c>
      <c r="E734" s="241">
        <v>4946173</v>
      </c>
      <c r="F734" s="7"/>
      <c r="G734" s="7">
        <v>2180930</v>
      </c>
      <c r="H734" s="7"/>
      <c r="I734" s="7">
        <v>729697</v>
      </c>
      <c r="J734" s="244"/>
      <c r="K734" s="7">
        <f t="shared" ref="K734" si="281">SUM(E734:I734)</f>
        <v>7856800</v>
      </c>
      <c r="L734" s="6"/>
      <c r="M734" s="438">
        <f t="shared" ref="M734" si="282">+(K734-K733)/K733</f>
        <v>1.2092898922459059E-4</v>
      </c>
      <c r="N734" s="29"/>
      <c r="O734" s="29"/>
      <c r="P734" s="29"/>
      <c r="Q734" s="332">
        <f t="shared" ref="Q734" si="283">+K734-K733</f>
        <v>950</v>
      </c>
      <c r="R734" s="6"/>
      <c r="S734" s="7">
        <f>67657+33102+10648</f>
        <v>111407</v>
      </c>
      <c r="T734" s="6"/>
      <c r="U734" s="243">
        <v>2.402125115017657E-2</v>
      </c>
      <c r="W734">
        <f t="shared" si="97"/>
        <v>724</v>
      </c>
      <c r="Y734" s="56"/>
    </row>
    <row r="735" spans="3:25" x14ac:dyDescent="0.3">
      <c r="C735" s="158">
        <f t="shared" si="244"/>
        <v>44634</v>
      </c>
      <c r="E735" s="241">
        <f>4952485-3000</f>
        <v>4949485</v>
      </c>
      <c r="F735" s="7"/>
      <c r="G735" s="7">
        <f>2182557+1500</f>
        <v>2184057</v>
      </c>
      <c r="H735" s="579" t="s">
        <v>26</v>
      </c>
      <c r="I735" s="7">
        <v>730811</v>
      </c>
      <c r="J735" s="244"/>
      <c r="K735" s="7">
        <f t="shared" ref="K735" si="284">SUM(E735:I735)</f>
        <v>7864353</v>
      </c>
      <c r="L735" s="6"/>
      <c r="M735" s="438">
        <f t="shared" ref="M735" si="285">+(K735-K734)/K734</f>
        <v>9.6133285816108339E-4</v>
      </c>
      <c r="N735" s="29"/>
      <c r="O735" s="29"/>
      <c r="P735" s="29"/>
      <c r="Q735" s="332">
        <f t="shared" ref="Q735" si="286">+K735-K734</f>
        <v>7553</v>
      </c>
      <c r="R735" s="6"/>
      <c r="S735" s="7">
        <f>67724+33126+10675</f>
        <v>111525</v>
      </c>
      <c r="T735" s="6"/>
      <c r="U735" s="243">
        <v>2.402125115017657E-2</v>
      </c>
      <c r="W735">
        <f t="shared" si="97"/>
        <v>725</v>
      </c>
      <c r="Y735" s="56"/>
    </row>
    <row r="736" spans="3:25" x14ac:dyDescent="0.3">
      <c r="C736" s="158">
        <f t="shared" si="244"/>
        <v>44635</v>
      </c>
      <c r="E736" s="241">
        <v>4952485</v>
      </c>
      <c r="F736" s="7"/>
      <c r="G736" s="7">
        <v>2182557</v>
      </c>
      <c r="H736" s="7"/>
      <c r="I736" s="7">
        <v>730811</v>
      </c>
      <c r="J736" s="244"/>
      <c r="K736" s="7">
        <f t="shared" ref="K736" si="287">SUM(E736:I736)</f>
        <v>7865853</v>
      </c>
      <c r="L736" s="6"/>
      <c r="M736" s="438">
        <f t="shared" ref="M736" si="288">+(K736-K735)/K735</f>
        <v>1.9073406292927084E-4</v>
      </c>
      <c r="N736" s="29"/>
      <c r="O736" s="29"/>
      <c r="P736" s="29"/>
      <c r="Q736" s="332">
        <f t="shared" ref="Q736" si="289">+K736-K735</f>
        <v>1500</v>
      </c>
      <c r="R736" s="6"/>
      <c r="S736" s="7">
        <f>67724+33126+10675</f>
        <v>111525</v>
      </c>
      <c r="T736" s="6"/>
      <c r="U736" s="243">
        <v>2.402125115017657E-2</v>
      </c>
      <c r="W736">
        <f t="shared" si="97"/>
        <v>726</v>
      </c>
      <c r="Y736" s="56"/>
    </row>
    <row r="737" spans="3:30" x14ac:dyDescent="0.3">
      <c r="C737" s="158">
        <f t="shared" si="244"/>
        <v>44636</v>
      </c>
      <c r="E737" s="241">
        <v>4954524</v>
      </c>
      <c r="F737" s="7"/>
      <c r="G737" s="7">
        <v>2184240</v>
      </c>
      <c r="H737" s="7"/>
      <c r="I737" s="7">
        <v>731128</v>
      </c>
      <c r="J737" s="244"/>
      <c r="K737" s="7">
        <f t="shared" ref="K737" si="290">SUM(E737:I737)</f>
        <v>7869892</v>
      </c>
      <c r="L737" s="6"/>
      <c r="M737" s="438">
        <f t="shared" ref="M737" si="291">+(K737-K736)/K736</f>
        <v>5.1348531430729768E-4</v>
      </c>
      <c r="N737" s="29"/>
      <c r="O737" s="29"/>
      <c r="P737" s="29"/>
      <c r="Q737" s="332">
        <f t="shared" ref="Q737" si="292">+K737-K736</f>
        <v>4039</v>
      </c>
      <c r="R737" s="6"/>
      <c r="S737" s="7">
        <f>67764+33135+10677</f>
        <v>111576</v>
      </c>
      <c r="T737" s="6"/>
      <c r="U737" s="243">
        <v>2.402125115017657E-2</v>
      </c>
      <c r="W737">
        <f t="shared" si="97"/>
        <v>727</v>
      </c>
      <c r="Y737" s="56"/>
    </row>
    <row r="738" spans="3:30" x14ac:dyDescent="0.3">
      <c r="C738" s="158">
        <f t="shared" si="244"/>
        <v>44637</v>
      </c>
      <c r="E738" s="241">
        <v>4956880</v>
      </c>
      <c r="F738" s="7"/>
      <c r="G738" s="7">
        <v>2186323</v>
      </c>
      <c r="H738" s="7"/>
      <c r="I738" s="7">
        <v>731532</v>
      </c>
      <c r="J738" s="244"/>
      <c r="K738" s="7">
        <f t="shared" ref="K738" si="293">SUM(E738:I738)</f>
        <v>7874735</v>
      </c>
      <c r="L738" s="6"/>
      <c r="M738" s="438">
        <f t="shared" ref="M738" si="294">+(K738-K737)/K737</f>
        <v>6.1538328607304898E-4</v>
      </c>
      <c r="N738" s="29"/>
      <c r="O738" s="29"/>
      <c r="P738" s="29"/>
      <c r="Q738" s="332">
        <f t="shared" ref="Q738" si="295">+K738-K737</f>
        <v>4843</v>
      </c>
      <c r="R738" s="6"/>
      <c r="S738" s="7">
        <f>67792+33149+10677</f>
        <v>111618</v>
      </c>
      <c r="T738" s="6"/>
      <c r="U738" s="243">
        <v>2.402125115017657E-2</v>
      </c>
      <c r="W738">
        <f t="shared" si="97"/>
        <v>728</v>
      </c>
      <c r="Y738" s="56"/>
      <c r="AD738" s="158"/>
    </row>
    <row r="739" spans="3:30" x14ac:dyDescent="0.3">
      <c r="C739" s="158">
        <f t="shared" si="244"/>
        <v>44638</v>
      </c>
      <c r="E739" s="241">
        <v>4958932</v>
      </c>
      <c r="F739" s="7"/>
      <c r="G739" s="7">
        <v>2186846</v>
      </c>
      <c r="H739" s="7"/>
      <c r="I739" s="7">
        <v>731868</v>
      </c>
      <c r="J739" s="244"/>
      <c r="K739" s="7">
        <f t="shared" ref="K739" si="296">SUM(E739:I739)</f>
        <v>7877646</v>
      </c>
      <c r="L739" s="6"/>
      <c r="M739" s="438">
        <f t="shared" ref="M739" si="297">+(K739-K738)/K738</f>
        <v>3.696632331119714E-4</v>
      </c>
      <c r="N739" s="29"/>
      <c r="O739" s="29"/>
      <c r="P739" s="29"/>
      <c r="Q739" s="332">
        <f t="shared" ref="Q739" si="298">+K739-K738</f>
        <v>2911</v>
      </c>
      <c r="R739" s="6"/>
      <c r="S739" s="7">
        <f>67810+33155+10717</f>
        <v>111682</v>
      </c>
      <c r="T739" s="6"/>
      <c r="U739" s="243">
        <v>2.402125115017657E-2</v>
      </c>
      <c r="W739">
        <f t="shared" si="97"/>
        <v>729</v>
      </c>
      <c r="Y739" s="56"/>
    </row>
    <row r="740" spans="3:30" x14ac:dyDescent="0.3">
      <c r="C740" s="158">
        <f t="shared" si="244"/>
        <v>44639</v>
      </c>
      <c r="E740" s="241">
        <f>4961120+500</f>
        <v>4961620</v>
      </c>
      <c r="F740" s="7"/>
      <c r="G740" s="7">
        <v>2187715</v>
      </c>
      <c r="H740" s="579" t="s">
        <v>26</v>
      </c>
      <c r="I740" s="7">
        <v>731868</v>
      </c>
      <c r="J740" s="244"/>
      <c r="K740" s="7">
        <f t="shared" ref="K740" si="299">SUM(E740:I740)</f>
        <v>7881203</v>
      </c>
      <c r="L740" s="6"/>
      <c r="M740" s="438">
        <f t="shared" ref="M740" si="300">+(K740-K739)/K739</f>
        <v>4.5153082532523042E-4</v>
      </c>
      <c r="N740" s="29"/>
      <c r="O740" s="29"/>
      <c r="P740" s="29"/>
      <c r="Q740" s="332">
        <f t="shared" ref="Q740" si="301">+K740-K739</f>
        <v>3557</v>
      </c>
      <c r="R740" s="6"/>
      <c r="S740" s="7">
        <f>67813+33167+10717</f>
        <v>111697</v>
      </c>
      <c r="T740" s="6"/>
      <c r="U740" s="243">
        <v>2.402125115017657E-2</v>
      </c>
      <c r="W740">
        <f t="shared" si="97"/>
        <v>730</v>
      </c>
      <c r="Y740" s="56"/>
    </row>
    <row r="741" spans="3:30" x14ac:dyDescent="0.3">
      <c r="C741" s="347">
        <f t="shared" si="244"/>
        <v>44640</v>
      </c>
      <c r="E741" s="241">
        <v>4963787</v>
      </c>
      <c r="F741" s="7"/>
      <c r="G741" s="7">
        <v>2188228</v>
      </c>
      <c r="H741" s="581"/>
      <c r="I741" s="7">
        <v>731868</v>
      </c>
      <c r="J741" s="244"/>
      <c r="K741" s="7">
        <f t="shared" ref="K741" si="302">SUM(E741:I741)</f>
        <v>7883883</v>
      </c>
      <c r="L741" s="6"/>
      <c r="M741" s="438">
        <f t="shared" ref="M741" si="303">+(K741-K740)/K740</f>
        <v>3.4004960917768517E-4</v>
      </c>
      <c r="N741" s="29"/>
      <c r="O741" s="29"/>
      <c r="P741" s="29"/>
      <c r="Q741" s="332">
        <f t="shared" ref="Q741" si="304">+K741-K740</f>
        <v>2680</v>
      </c>
      <c r="R741" s="6"/>
      <c r="S741" s="7">
        <f>67813+33167+10717</f>
        <v>111697</v>
      </c>
      <c r="T741" s="6"/>
      <c r="U741" s="243">
        <v>2.402125115017657E-2</v>
      </c>
      <c r="W741">
        <f t="shared" si="97"/>
        <v>731</v>
      </c>
      <c r="Y741" s="56"/>
    </row>
    <row r="742" spans="3:30" x14ac:dyDescent="0.3">
      <c r="C742" s="158">
        <f t="shared" si="244"/>
        <v>44641</v>
      </c>
      <c r="E742" s="241">
        <v>4964964</v>
      </c>
      <c r="F742" s="7"/>
      <c r="G742" s="7">
        <v>2188780</v>
      </c>
      <c r="H742" s="581"/>
      <c r="I742" s="7">
        <v>732471</v>
      </c>
      <c r="J742" s="244"/>
      <c r="K742" s="7">
        <f t="shared" ref="K742" si="305">SUM(E742:I742)</f>
        <v>7886215</v>
      </c>
      <c r="L742" s="6"/>
      <c r="M742" s="438">
        <f t="shared" ref="M742" si="306">+(K742-K741)/K741</f>
        <v>2.9579332925158832E-4</v>
      </c>
      <c r="N742" s="29"/>
      <c r="O742" s="29"/>
      <c r="P742" s="29"/>
      <c r="Q742" s="332">
        <f t="shared" ref="Q742" si="307">+K742-K741</f>
        <v>2332</v>
      </c>
      <c r="R742" s="6"/>
      <c r="S742" s="7">
        <f>67822+33178+10723</f>
        <v>111723</v>
      </c>
      <c r="T742" s="6"/>
      <c r="U742" s="243">
        <v>2.402125115017657E-2</v>
      </c>
      <c r="W742">
        <f t="shared" si="97"/>
        <v>732</v>
      </c>
      <c r="Y742" s="56"/>
    </row>
    <row r="743" spans="3:30" x14ac:dyDescent="0.3">
      <c r="C743" s="158">
        <f t="shared" si="244"/>
        <v>44642</v>
      </c>
      <c r="E743" s="241">
        <v>4966567</v>
      </c>
      <c r="F743" s="7"/>
      <c r="G743" s="7">
        <v>2189639</v>
      </c>
      <c r="H743" s="581"/>
      <c r="I743" s="7">
        <v>732932</v>
      </c>
      <c r="J743" s="244"/>
      <c r="K743" s="7">
        <f t="shared" ref="K743" si="308">SUM(E743:I743)</f>
        <v>7889138</v>
      </c>
      <c r="L743" s="6"/>
      <c r="M743" s="438">
        <f t="shared" ref="M743" si="309">+(K743-K742)/K742</f>
        <v>3.7064675512904477E-4</v>
      </c>
      <c r="N743" s="29"/>
      <c r="O743" s="29"/>
      <c r="P743" s="29"/>
      <c r="Q743" s="332">
        <f t="shared" ref="Q743" si="310">+K743-K742</f>
        <v>2923</v>
      </c>
      <c r="R743" s="6"/>
      <c r="S743" s="7">
        <f>67842+33186+10742</f>
        <v>111770</v>
      </c>
      <c r="T743" s="6"/>
      <c r="U743" s="243">
        <v>2.402125115017657E-2</v>
      </c>
      <c r="W743">
        <f t="shared" si="97"/>
        <v>733</v>
      </c>
      <c r="Y743" s="56"/>
    </row>
    <row r="744" spans="3:30" x14ac:dyDescent="0.3">
      <c r="C744" s="158">
        <f t="shared" si="244"/>
        <v>44643</v>
      </c>
      <c r="E744" s="241">
        <v>4967118</v>
      </c>
      <c r="F744" s="7"/>
      <c r="G744" s="7">
        <v>2190743</v>
      </c>
      <c r="H744" s="581"/>
      <c r="I744" s="7">
        <v>733328</v>
      </c>
      <c r="J744" s="244"/>
      <c r="K744" s="7">
        <f t="shared" ref="K744" si="311">SUM(E744:I744)</f>
        <v>7891189</v>
      </c>
      <c r="L744" s="6"/>
      <c r="M744" s="438">
        <f t="shared" ref="M744" si="312">+(K744-K743)/K743</f>
        <v>2.5997770605609889E-4</v>
      </c>
      <c r="N744" s="29"/>
      <c r="O744" s="29"/>
      <c r="P744" s="29"/>
      <c r="Q744" s="332">
        <f t="shared" ref="Q744" si="313">+K744-K743</f>
        <v>2051</v>
      </c>
      <c r="R744" s="6"/>
      <c r="S744" s="7">
        <f>67862+33192+10740</f>
        <v>111794</v>
      </c>
      <c r="T744" s="6"/>
      <c r="U744" s="243">
        <v>2.402125115017657E-2</v>
      </c>
      <c r="W744">
        <f t="shared" si="97"/>
        <v>734</v>
      </c>
      <c r="Y744" s="56"/>
    </row>
    <row r="745" spans="3:30" x14ac:dyDescent="0.3">
      <c r="C745" s="158">
        <f t="shared" si="244"/>
        <v>44644</v>
      </c>
      <c r="E745" s="241">
        <v>4973714</v>
      </c>
      <c r="F745" s="7"/>
      <c r="G745" s="7">
        <v>2192294</v>
      </c>
      <c r="H745" s="581"/>
      <c r="I745" s="7">
        <v>733767</v>
      </c>
      <c r="J745" s="244"/>
      <c r="K745" s="7">
        <f t="shared" ref="K745" si="314">SUM(E745:I745)</f>
        <v>7899775</v>
      </c>
      <c r="L745" s="6"/>
      <c r="M745" s="438">
        <f t="shared" ref="M745" si="315">+(K745-K744)/K744</f>
        <v>1.0880489619498404E-3</v>
      </c>
      <c r="N745" s="29"/>
      <c r="O745" s="29"/>
      <c r="P745" s="29"/>
      <c r="Q745" s="332">
        <f t="shared" ref="Q745" si="316">+K745-K744</f>
        <v>8586</v>
      </c>
      <c r="R745" s="6"/>
      <c r="S745" s="7">
        <f>67867+33195+10744</f>
        <v>111806</v>
      </c>
      <c r="T745" s="6"/>
      <c r="U745" s="243">
        <v>2.402125115017657E-2</v>
      </c>
      <c r="W745">
        <f t="shared" si="97"/>
        <v>735</v>
      </c>
      <c r="Y745" s="56"/>
    </row>
    <row r="746" spans="3:30" x14ac:dyDescent="0.3">
      <c r="C746" s="158">
        <f t="shared" si="244"/>
        <v>44645</v>
      </c>
      <c r="E746" s="241">
        <v>4977256</v>
      </c>
      <c r="F746" s="7"/>
      <c r="G746" s="7">
        <v>2193470</v>
      </c>
      <c r="H746" s="581"/>
      <c r="I746" s="7">
        <v>734196</v>
      </c>
      <c r="J746" s="244"/>
      <c r="K746" s="7">
        <f t="shared" ref="K746" si="317">SUM(E746:I746)</f>
        <v>7904922</v>
      </c>
      <c r="L746" s="6"/>
      <c r="M746" s="438">
        <f t="shared" ref="M746" si="318">+(K746-K745)/K745</f>
        <v>6.5153754379080415E-4</v>
      </c>
      <c r="N746" s="29"/>
      <c r="O746" s="29"/>
      <c r="P746" s="29"/>
      <c r="Q746" s="332">
        <f t="shared" ref="Q746" si="319">+K746-K745</f>
        <v>5147</v>
      </c>
      <c r="R746" s="6"/>
      <c r="S746" s="7">
        <f>67907+33203+10759</f>
        <v>111869</v>
      </c>
      <c r="T746" s="6"/>
      <c r="U746" s="243">
        <v>2.402125115017657E-2</v>
      </c>
      <c r="W746">
        <f t="shared" si="97"/>
        <v>736</v>
      </c>
      <c r="Y746" s="56"/>
    </row>
    <row r="747" spans="3:30" x14ac:dyDescent="0.3">
      <c r="C747" s="158">
        <f t="shared" si="244"/>
        <v>44646</v>
      </c>
      <c r="E747" s="241">
        <v>4977256</v>
      </c>
      <c r="F747" s="7"/>
      <c r="G747" s="7">
        <v>2194379</v>
      </c>
      <c r="H747" s="581"/>
      <c r="I747" s="7">
        <v>734196</v>
      </c>
      <c r="J747" s="244"/>
      <c r="K747" s="7">
        <f t="shared" ref="K747" si="320">SUM(E747:I747)</f>
        <v>7905831</v>
      </c>
      <c r="L747" s="6"/>
      <c r="M747" s="438">
        <f t="shared" ref="M747" si="321">+(K747-K746)/K746</f>
        <v>1.149916469764028E-4</v>
      </c>
      <c r="N747" s="29"/>
      <c r="O747" s="29"/>
      <c r="P747" s="29"/>
      <c r="Q747" s="332">
        <f t="shared" ref="Q747" si="322">+K747-K746</f>
        <v>909</v>
      </c>
      <c r="R747" s="6"/>
      <c r="S747" s="7">
        <f>67917+33210+10759</f>
        <v>111886</v>
      </c>
      <c r="T747" s="6"/>
      <c r="U747" s="243">
        <v>2.402125115017657E-2</v>
      </c>
      <c r="W747">
        <f t="shared" si="97"/>
        <v>737</v>
      </c>
      <c r="Y747" s="56"/>
    </row>
    <row r="748" spans="3:30" x14ac:dyDescent="0.3">
      <c r="C748" s="347">
        <f t="shared" si="244"/>
        <v>44647</v>
      </c>
      <c r="E748" s="241">
        <v>4978479</v>
      </c>
      <c r="F748" s="7"/>
      <c r="G748" s="7">
        <v>2195320</v>
      </c>
      <c r="H748" s="581"/>
      <c r="I748" s="7">
        <v>734196</v>
      </c>
      <c r="J748" s="244"/>
      <c r="K748" s="7">
        <f t="shared" ref="K748" si="323">SUM(E748:I748)</f>
        <v>7907995</v>
      </c>
      <c r="L748" s="6"/>
      <c r="M748" s="438">
        <f t="shared" ref="M748" si="324">+(K748-K747)/K747</f>
        <v>2.7372201606636922E-4</v>
      </c>
      <c r="N748" s="29"/>
      <c r="O748" s="29"/>
      <c r="P748" s="29"/>
      <c r="Q748" s="332">
        <f t="shared" ref="Q748" si="325">+K748-K747</f>
        <v>2164</v>
      </c>
      <c r="R748" s="6"/>
      <c r="S748" s="7">
        <f>67929+33211+10759</f>
        <v>111899</v>
      </c>
      <c r="T748" s="6"/>
      <c r="U748" s="243">
        <v>2.402125115017657E-2</v>
      </c>
      <c r="W748">
        <f t="shared" si="97"/>
        <v>738</v>
      </c>
      <c r="Y748" s="56"/>
    </row>
    <row r="749" spans="3:30" x14ac:dyDescent="0.3">
      <c r="C749" s="158">
        <f t="shared" si="244"/>
        <v>44648</v>
      </c>
      <c r="E749" s="241">
        <v>4985450</v>
      </c>
      <c r="F749" s="7"/>
      <c r="G749" s="7">
        <v>2195963</v>
      </c>
      <c r="H749" s="581"/>
      <c r="I749" s="7">
        <v>735210</v>
      </c>
      <c r="J749" s="244"/>
      <c r="K749" s="7">
        <f t="shared" ref="K749" si="326">SUM(E749:I749)</f>
        <v>7916623</v>
      </c>
      <c r="L749" s="6"/>
      <c r="M749" s="438">
        <f t="shared" ref="M749" si="327">+(K749-K748)/K748</f>
        <v>1.0910477308091369E-3</v>
      </c>
      <c r="N749" s="29"/>
      <c r="O749" s="29"/>
      <c r="P749" s="29"/>
      <c r="Q749" s="332">
        <f t="shared" ref="Q749" si="328">+K749-K748</f>
        <v>8628</v>
      </c>
      <c r="R749" s="6"/>
      <c r="S749" s="7">
        <f>67939+25519+10759</f>
        <v>104217</v>
      </c>
      <c r="T749" s="6"/>
      <c r="U749" s="243">
        <v>2.402125115017657E-2</v>
      </c>
      <c r="W749">
        <f t="shared" si="97"/>
        <v>739</v>
      </c>
      <c r="Y749" s="56"/>
    </row>
    <row r="750" spans="3:30" x14ac:dyDescent="0.3">
      <c r="C750" s="158">
        <f t="shared" si="244"/>
        <v>44649</v>
      </c>
      <c r="E750" s="241">
        <v>4987844</v>
      </c>
      <c r="F750" s="7"/>
      <c r="G750" s="7">
        <v>2196970</v>
      </c>
      <c r="H750" s="581"/>
      <c r="I750" s="7">
        <v>735575</v>
      </c>
      <c r="J750" s="244"/>
      <c r="K750" s="7">
        <f t="shared" ref="K750" si="329">SUM(E750:I750)</f>
        <v>7920389</v>
      </c>
      <c r="L750" s="6"/>
      <c r="M750" s="438">
        <f t="shared" ref="M750" si="330">+(K750-K749)/K749</f>
        <v>4.7570788706245075E-4</v>
      </c>
      <c r="N750" s="29"/>
      <c r="O750" s="29"/>
      <c r="P750" s="29"/>
      <c r="Q750" s="332">
        <f t="shared" ref="Q750" si="331">+K750-K749</f>
        <v>3766</v>
      </c>
      <c r="R750" s="6"/>
      <c r="S750" s="7">
        <f>67953+33225+10779</f>
        <v>111957</v>
      </c>
      <c r="T750" s="6"/>
      <c r="U750" s="243">
        <v>2.402125115017657E-2</v>
      </c>
      <c r="W750">
        <f t="shared" si="97"/>
        <v>740</v>
      </c>
      <c r="Y750" s="56"/>
    </row>
    <row r="751" spans="3:30" x14ac:dyDescent="0.3">
      <c r="C751" s="158">
        <f t="shared" si="244"/>
        <v>44650</v>
      </c>
      <c r="E751" s="241">
        <v>4995734</v>
      </c>
      <c r="F751" s="7"/>
      <c r="G751" s="7">
        <v>2199807</v>
      </c>
      <c r="H751" s="581"/>
      <c r="I751" s="7">
        <v>736033</v>
      </c>
      <c r="J751" s="244"/>
      <c r="K751" s="7">
        <f t="shared" ref="K751" si="332">SUM(E751:I751)</f>
        <v>7931574</v>
      </c>
      <c r="L751" s="6"/>
      <c r="M751" s="438">
        <f t="shared" ref="M751" si="333">+(K751-K750)/K750</f>
        <v>1.4121781139789977E-3</v>
      </c>
      <c r="N751" s="29"/>
      <c r="O751" s="29"/>
      <c r="P751" s="29"/>
      <c r="Q751" s="332">
        <f t="shared" ref="Q751" si="334">+K751-K750</f>
        <v>11185</v>
      </c>
      <c r="R751" s="6"/>
      <c r="S751" s="7">
        <f>67967+33232+10779</f>
        <v>111978</v>
      </c>
      <c r="T751" s="6"/>
      <c r="U751" s="243">
        <v>2.402125115017657E-2</v>
      </c>
      <c r="W751">
        <f t="shared" si="97"/>
        <v>741</v>
      </c>
      <c r="Y751" s="56"/>
    </row>
    <row r="752" spans="3:30" x14ac:dyDescent="0.3">
      <c r="C752" s="158">
        <f t="shared" si="244"/>
        <v>44651</v>
      </c>
      <c r="E752" s="241">
        <v>4995734</v>
      </c>
      <c r="F752" s="7"/>
      <c r="G752" s="7">
        <v>2199807</v>
      </c>
      <c r="H752" s="581"/>
      <c r="I752" s="7">
        <v>736033</v>
      </c>
      <c r="J752" s="244"/>
      <c r="K752" s="7">
        <f t="shared" ref="K752" si="335">SUM(E752:I752)</f>
        <v>7931574</v>
      </c>
      <c r="L752" s="6"/>
      <c r="M752" s="438">
        <f t="shared" ref="M752" si="336">+(K752-K751)/K751</f>
        <v>0</v>
      </c>
      <c r="N752" s="29"/>
      <c r="O752" s="29"/>
      <c r="P752" s="29"/>
      <c r="Q752" s="332">
        <f t="shared" ref="Q752" si="337">+K752-K751</f>
        <v>0</v>
      </c>
      <c r="R752" s="6"/>
      <c r="S752" s="7">
        <f>67967+33232+10779</f>
        <v>111978</v>
      </c>
      <c r="T752" s="6"/>
      <c r="U752" s="243">
        <v>2.402125115017657E-2</v>
      </c>
      <c r="W752">
        <f t="shared" si="97"/>
        <v>742</v>
      </c>
      <c r="Y752" s="56"/>
    </row>
    <row r="753" spans="3:25" x14ac:dyDescent="0.3">
      <c r="C753" s="158">
        <f t="shared" si="244"/>
        <v>44652</v>
      </c>
      <c r="E753" s="241">
        <v>4995734</v>
      </c>
      <c r="F753" s="7"/>
      <c r="G753" s="7">
        <v>2199807</v>
      </c>
      <c r="H753" s="581"/>
      <c r="I753" s="7">
        <v>736033</v>
      </c>
      <c r="J753" s="244"/>
      <c r="K753" s="7">
        <f t="shared" ref="K753" si="338">SUM(E753:I753)</f>
        <v>7931574</v>
      </c>
      <c r="L753" s="6"/>
      <c r="M753" s="438">
        <f t="shared" ref="M753" si="339">+(K753-K752)/K752</f>
        <v>0</v>
      </c>
      <c r="N753" s="29"/>
      <c r="O753" s="29"/>
      <c r="P753" s="29"/>
      <c r="Q753" s="332">
        <f t="shared" ref="Q753" si="340">+K753-K752</f>
        <v>0</v>
      </c>
      <c r="R753" s="6"/>
      <c r="S753" s="7">
        <f>67967+33232+10779</f>
        <v>111978</v>
      </c>
      <c r="T753" s="6"/>
      <c r="U753" s="243">
        <v>2.402125115017657E-2</v>
      </c>
      <c r="W753">
        <f t="shared" si="97"/>
        <v>743</v>
      </c>
      <c r="Y753" s="56"/>
    </row>
    <row r="754" spans="3:25" x14ac:dyDescent="0.3">
      <c r="C754" s="158">
        <f t="shared" si="244"/>
        <v>44653</v>
      </c>
      <c r="E754" s="241">
        <v>5002854</v>
      </c>
      <c r="F754" s="7"/>
      <c r="G754" s="7">
        <v>2202817</v>
      </c>
      <c r="H754" s="581"/>
      <c r="I754" s="7">
        <v>737276</v>
      </c>
      <c r="J754" s="244"/>
      <c r="K754" s="7">
        <f t="shared" ref="K754" si="341">SUM(E754:I754)</f>
        <v>7942947</v>
      </c>
      <c r="L754" s="6"/>
      <c r="M754" s="438">
        <f t="shared" ref="M754" si="342">+(K754-K753)/K753</f>
        <v>1.4338894146357331E-3</v>
      </c>
      <c r="N754" s="29"/>
      <c r="O754" s="29"/>
      <c r="P754" s="29"/>
      <c r="Q754" s="332">
        <f t="shared" ref="Q754" si="343">+K754-K753</f>
        <v>11373</v>
      </c>
      <c r="R754" s="6"/>
      <c r="S754" s="7">
        <f>67987+33245+10779</f>
        <v>112011</v>
      </c>
      <c r="T754" s="6"/>
      <c r="U754" s="243">
        <v>2.402125115017657E-2</v>
      </c>
      <c r="W754">
        <f t="shared" si="97"/>
        <v>744</v>
      </c>
      <c r="Y754" s="56"/>
    </row>
    <row r="755" spans="3:25" x14ac:dyDescent="0.3">
      <c r="C755" s="347">
        <f t="shared" si="244"/>
        <v>44654</v>
      </c>
      <c r="E755" s="241">
        <v>5005818</v>
      </c>
      <c r="F755" s="7"/>
      <c r="G755" s="7">
        <v>2202817</v>
      </c>
      <c r="H755" s="581"/>
      <c r="I755" s="7">
        <v>737276</v>
      </c>
      <c r="J755" s="244"/>
      <c r="K755" s="7">
        <f t="shared" ref="K755" si="344">SUM(E755:I755)</f>
        <v>7945911</v>
      </c>
      <c r="L755" s="6"/>
      <c r="M755" s="438">
        <f t="shared" ref="M755" si="345">+(K755-K754)/K754</f>
        <v>3.7316124607151478E-4</v>
      </c>
      <c r="N755" s="29"/>
      <c r="O755" s="29"/>
      <c r="P755" s="29"/>
      <c r="Q755" s="332">
        <f t="shared" ref="Q755" si="346">+K755-K754</f>
        <v>2964</v>
      </c>
      <c r="R755" s="6"/>
      <c r="S755" s="7">
        <f>67994+33245</f>
        <v>101239</v>
      </c>
      <c r="T755" s="6"/>
      <c r="U755" s="243">
        <v>2.402125115017657E-2</v>
      </c>
      <c r="W755">
        <f t="shared" si="97"/>
        <v>745</v>
      </c>
      <c r="Y755" s="56"/>
    </row>
    <row r="756" spans="3:25" x14ac:dyDescent="0.3">
      <c r="C756" s="158">
        <f t="shared" si="244"/>
        <v>44655</v>
      </c>
      <c r="E756" s="241">
        <v>5010041</v>
      </c>
      <c r="F756" s="7"/>
      <c r="G756" s="7">
        <v>2204645</v>
      </c>
      <c r="H756" s="581"/>
      <c r="I756" s="7">
        <v>738544</v>
      </c>
      <c r="J756" s="244"/>
      <c r="K756" s="7">
        <f t="shared" ref="K756" si="347">SUM(E756:I756)</f>
        <v>7953230</v>
      </c>
      <c r="L756" s="6"/>
      <c r="M756" s="438">
        <f t="shared" ref="M756" si="348">+(K756-K755)/K755</f>
        <v>9.2110269042781879E-4</v>
      </c>
      <c r="N756" s="29"/>
      <c r="O756" s="29"/>
      <c r="P756" s="29"/>
      <c r="Q756" s="332">
        <f t="shared" ref="Q756" si="349">+K756-K755</f>
        <v>7319</v>
      </c>
      <c r="R756" s="6"/>
      <c r="S756" s="7">
        <f>68007+33259+10779</f>
        <v>112045</v>
      </c>
      <c r="T756" s="6"/>
      <c r="U756" s="243">
        <v>2.402125115017657E-2</v>
      </c>
      <c r="W756">
        <f t="shared" si="97"/>
        <v>746</v>
      </c>
      <c r="Y756" s="56"/>
    </row>
    <row r="757" spans="3:25" x14ac:dyDescent="0.3">
      <c r="C757" s="158">
        <f t="shared" si="244"/>
        <v>44656</v>
      </c>
      <c r="E757" s="241">
        <v>5012350</v>
      </c>
      <c r="F757" s="7"/>
      <c r="G757" s="7">
        <v>2206255</v>
      </c>
      <c r="H757" s="581"/>
      <c r="I757" s="7">
        <v>738976</v>
      </c>
      <c r="J757" s="244"/>
      <c r="K757" s="7">
        <f t="shared" ref="K757" si="350">SUM(E757:I757)</f>
        <v>7957581</v>
      </c>
      <c r="L757" s="6"/>
      <c r="M757" s="438">
        <f t="shared" ref="M757" si="351">+(K757-K756)/K756</f>
        <v>5.4707332744054931E-4</v>
      </c>
      <c r="N757" s="29"/>
      <c r="O757" s="29"/>
      <c r="P757" s="29"/>
      <c r="Q757" s="332">
        <f t="shared" ref="Q757" si="352">+K757-K756</f>
        <v>4351</v>
      </c>
      <c r="R757" s="6"/>
      <c r="S757" s="7">
        <f>68015+33264+10793</f>
        <v>112072</v>
      </c>
      <c r="T757" s="6"/>
      <c r="U757" s="243">
        <v>2.402125115017657E-2</v>
      </c>
      <c r="W757">
        <f t="shared" si="97"/>
        <v>747</v>
      </c>
      <c r="Y757" s="56"/>
    </row>
    <row r="758" spans="3:25" x14ac:dyDescent="0.3">
      <c r="C758" s="158">
        <f t="shared" si="244"/>
        <v>44657</v>
      </c>
      <c r="E758" s="241">
        <v>5022921</v>
      </c>
      <c r="F758" s="7"/>
      <c r="G758" s="7">
        <v>2210227</v>
      </c>
      <c r="H758" s="581"/>
      <c r="I758" s="7">
        <v>740203</v>
      </c>
      <c r="J758" s="244"/>
      <c r="K758" s="7">
        <f t="shared" ref="K758" si="353">SUM(E758:I758)</f>
        <v>7973351</v>
      </c>
      <c r="L758" s="6"/>
      <c r="M758" s="438">
        <f t="shared" ref="M758" si="354">+(K758-K757)/K757</f>
        <v>1.9817580242035863E-3</v>
      </c>
      <c r="N758" s="29"/>
      <c r="O758" s="29"/>
      <c r="P758" s="29"/>
      <c r="Q758" s="332">
        <f t="shared" ref="Q758" si="355">+K758-K757</f>
        <v>15770</v>
      </c>
      <c r="R758" s="6"/>
      <c r="S758" s="7">
        <f>68032+33289+10795</f>
        <v>112116</v>
      </c>
      <c r="T758" s="6"/>
      <c r="U758" s="243">
        <v>2.402125115017657E-2</v>
      </c>
      <c r="W758">
        <f t="shared" si="97"/>
        <v>748</v>
      </c>
      <c r="Y758" s="56"/>
    </row>
    <row r="759" spans="3:25" x14ac:dyDescent="0.3">
      <c r="C759" s="158">
        <f t="shared" si="244"/>
        <v>44658</v>
      </c>
      <c r="E759" s="241">
        <v>5022921</v>
      </c>
      <c r="F759" s="7"/>
      <c r="G759" s="7">
        <v>2210227</v>
      </c>
      <c r="H759" s="581"/>
      <c r="I759" s="7">
        <v>740203</v>
      </c>
      <c r="J759" s="244"/>
      <c r="K759" s="7">
        <f t="shared" ref="K759" si="356">SUM(E759:I759)</f>
        <v>7973351</v>
      </c>
      <c r="L759" s="6"/>
      <c r="M759" s="438">
        <f t="shared" ref="M759" si="357">+(K759-K758)/K758</f>
        <v>0</v>
      </c>
      <c r="N759" s="29"/>
      <c r="O759" s="29"/>
      <c r="P759" s="29"/>
      <c r="Q759" s="332">
        <f t="shared" ref="Q759" si="358">+K759-K758</f>
        <v>0</v>
      </c>
      <c r="R759" s="6"/>
      <c r="S759" s="7">
        <f>68032+33289+10795</f>
        <v>112116</v>
      </c>
      <c r="T759" s="6"/>
      <c r="U759" s="243">
        <v>2.402125115017657E-2</v>
      </c>
      <c r="W759">
        <f t="shared" si="97"/>
        <v>749</v>
      </c>
      <c r="Y759" s="56"/>
    </row>
    <row r="760" spans="3:25" x14ac:dyDescent="0.3">
      <c r="C760" s="158">
        <f t="shared" si="244"/>
        <v>44659</v>
      </c>
      <c r="E760" s="241">
        <v>5028707</v>
      </c>
      <c r="F760" s="7"/>
      <c r="G760" s="7">
        <v>2212245</v>
      </c>
      <c r="H760" s="581"/>
      <c r="I760" s="7">
        <v>740894</v>
      </c>
      <c r="J760" s="244"/>
      <c r="K760" s="7">
        <f t="shared" ref="K760" si="359">SUM(E760:I760)</f>
        <v>7981846</v>
      </c>
      <c r="L760" s="6"/>
      <c r="M760" s="438">
        <f t="shared" ref="M760" si="360">+(K760-K759)/K759</f>
        <v>1.0654240607242801E-3</v>
      </c>
      <c r="N760" s="29"/>
      <c r="O760" s="29"/>
      <c r="P760" s="29"/>
      <c r="Q760" s="332">
        <f t="shared" ref="Q760" si="361">+K760-K759</f>
        <v>8495</v>
      </c>
      <c r="R760" s="6"/>
      <c r="S760" s="7">
        <f>68041+33294+10801</f>
        <v>112136</v>
      </c>
      <c r="T760" s="6"/>
      <c r="U760" s="243">
        <v>2.402125115017657E-2</v>
      </c>
      <c r="W760">
        <f t="shared" si="97"/>
        <v>750</v>
      </c>
      <c r="Y760" s="56"/>
    </row>
    <row r="761" spans="3:25" x14ac:dyDescent="0.3">
      <c r="C761" s="158">
        <f t="shared" si="244"/>
        <v>44660</v>
      </c>
      <c r="E761" s="241">
        <v>5033233</v>
      </c>
      <c r="F761" s="7"/>
      <c r="G761" s="7">
        <v>2213874</v>
      </c>
      <c r="H761" s="581"/>
      <c r="I761" s="7">
        <v>740894</v>
      </c>
      <c r="J761" s="244"/>
      <c r="K761" s="7">
        <f t="shared" ref="K761" si="362">SUM(E761:I761)</f>
        <v>7988001</v>
      </c>
      <c r="L761" s="6"/>
      <c r="M761" s="438">
        <f t="shared" ref="M761" si="363">+(K761-K760)/K760</f>
        <v>7.7112487512287259E-4</v>
      </c>
      <c r="N761" s="29"/>
      <c r="O761" s="29"/>
      <c r="P761" s="29"/>
      <c r="Q761" s="332">
        <f t="shared" ref="Q761" si="364">+K761-K760</f>
        <v>6155</v>
      </c>
      <c r="R761" s="6"/>
      <c r="S761" s="7">
        <f>68048+33298+10801</f>
        <v>112147</v>
      </c>
      <c r="T761" s="6"/>
      <c r="U761" s="243">
        <v>2.402125115017657E-2</v>
      </c>
      <c r="W761">
        <f t="shared" si="97"/>
        <v>751</v>
      </c>
      <c r="X761" s="56"/>
      <c r="Y761" s="56"/>
    </row>
    <row r="762" spans="3:25" x14ac:dyDescent="0.3">
      <c r="C762" s="347">
        <f t="shared" si="244"/>
        <v>44661</v>
      </c>
      <c r="E762" s="241">
        <v>5033233</v>
      </c>
      <c r="F762" s="7"/>
      <c r="G762" s="7">
        <v>2213874</v>
      </c>
      <c r="H762" s="581"/>
      <c r="I762" s="7">
        <v>740894</v>
      </c>
      <c r="J762" s="244"/>
      <c r="K762" s="7">
        <f t="shared" ref="K762" si="365">SUM(E762:I762)</f>
        <v>7988001</v>
      </c>
      <c r="L762" s="6"/>
      <c r="M762" s="438">
        <f t="shared" ref="M762" si="366">+(K762-K761)/K761</f>
        <v>0</v>
      </c>
      <c r="N762" s="29"/>
      <c r="O762" s="29"/>
      <c r="P762" s="29"/>
      <c r="Q762" s="332">
        <f t="shared" ref="Q762" si="367">+K762-K761</f>
        <v>0</v>
      </c>
      <c r="R762" s="6"/>
      <c r="S762" s="7">
        <f>68048+33298+10801</f>
        <v>112147</v>
      </c>
      <c r="T762" s="6"/>
      <c r="U762" s="243">
        <v>2.402125115017657E-2</v>
      </c>
      <c r="W762">
        <f t="shared" si="97"/>
        <v>752</v>
      </c>
      <c r="X762" s="56">
        <f>SUM(Q756:Q762)</f>
        <v>42090</v>
      </c>
      <c r="Y762" s="56"/>
    </row>
    <row r="763" spans="3:25" x14ac:dyDescent="0.3">
      <c r="C763" s="158">
        <f t="shared" si="244"/>
        <v>44662</v>
      </c>
      <c r="E763" s="241">
        <v>5044098</v>
      </c>
      <c r="F763" s="7"/>
      <c r="G763" s="7">
        <v>2216804</v>
      </c>
      <c r="H763" s="581"/>
      <c r="I763" s="7">
        <v>742730</v>
      </c>
      <c r="J763" s="244"/>
      <c r="K763" s="7">
        <f t="shared" ref="K763" si="368">SUM(E763:I763)</f>
        <v>8003632</v>
      </c>
      <c r="L763" s="6"/>
      <c r="M763" s="438">
        <f t="shared" ref="M763" si="369">+(K763-K762)/K762</f>
        <v>1.9568099703542851E-3</v>
      </c>
      <c r="N763" s="29"/>
      <c r="O763" s="29"/>
      <c r="P763" s="29"/>
      <c r="Q763" s="332">
        <f t="shared" ref="Q763" si="370">+K763-K762</f>
        <v>15631</v>
      </c>
      <c r="R763" s="6"/>
      <c r="S763" s="7">
        <f>68067+33308</f>
        <v>101375</v>
      </c>
      <c r="T763" s="6"/>
      <c r="U763" s="243">
        <v>2.402125115017657E-2</v>
      </c>
      <c r="W763">
        <f t="shared" si="97"/>
        <v>753</v>
      </c>
      <c r="Y763" s="56"/>
    </row>
    <row r="764" spans="3:25" x14ac:dyDescent="0.3">
      <c r="C764" s="158">
        <f t="shared" si="244"/>
        <v>44663</v>
      </c>
      <c r="E764" s="241">
        <v>5048098</v>
      </c>
      <c r="F764" s="7"/>
      <c r="G764" s="7">
        <v>2218786</v>
      </c>
      <c r="H764" s="581"/>
      <c r="I764" s="7">
        <v>742730</v>
      </c>
      <c r="J764" s="244"/>
      <c r="K764" s="7">
        <f t="shared" ref="K764" si="371">SUM(E764:I764)</f>
        <v>8009614</v>
      </c>
      <c r="L764" s="6"/>
      <c r="M764" s="438">
        <f t="shared" ref="M764" si="372">+(K764-K763)/K763</f>
        <v>7.4741067555329885E-4</v>
      </c>
      <c r="N764" s="29"/>
      <c r="O764" s="29"/>
      <c r="P764" s="29"/>
      <c r="Q764" s="332">
        <f t="shared" ref="Q764" si="373">+K764-K763</f>
        <v>5982</v>
      </c>
      <c r="R764" s="6"/>
      <c r="S764" s="7">
        <f>68067+33308</f>
        <v>101375</v>
      </c>
      <c r="T764" s="6"/>
      <c r="U764" s="243">
        <v>2.402125115017657E-2</v>
      </c>
      <c r="W764">
        <f t="shared" si="97"/>
        <v>754</v>
      </c>
      <c r="Y764" s="56"/>
    </row>
    <row r="765" spans="3:25" x14ac:dyDescent="0.3">
      <c r="C765" s="158">
        <f t="shared" si="244"/>
        <v>44664</v>
      </c>
      <c r="E765" s="241">
        <v>5048911</v>
      </c>
      <c r="F765" s="7"/>
      <c r="G765" s="7">
        <v>2221058</v>
      </c>
      <c r="H765" s="581"/>
      <c r="I765" s="7">
        <v>744052</v>
      </c>
      <c r="J765" s="244"/>
      <c r="K765" s="7">
        <f t="shared" ref="K765" si="374">SUM(E765:I765)</f>
        <v>8014021</v>
      </c>
      <c r="L765" s="6"/>
      <c r="M765" s="438">
        <f t="shared" ref="M765" si="375">+(K765-K764)/K764</f>
        <v>5.5021378058917698E-4</v>
      </c>
      <c r="N765" s="29"/>
      <c r="O765" s="29"/>
      <c r="P765" s="29"/>
      <c r="Q765" s="332">
        <f t="shared" ref="Q765" si="376">+K765-K764</f>
        <v>4407</v>
      </c>
      <c r="R765" s="6"/>
      <c r="S765" s="7">
        <f>68096+33315+10809</f>
        <v>112220</v>
      </c>
      <c r="T765" s="6"/>
      <c r="U765" s="243">
        <v>2.402125115017657E-2</v>
      </c>
      <c r="W765">
        <f t="shared" si="97"/>
        <v>755</v>
      </c>
      <c r="Y765" s="56"/>
    </row>
    <row r="766" spans="3:25" x14ac:dyDescent="0.3">
      <c r="C766" s="158">
        <f t="shared" si="244"/>
        <v>44665</v>
      </c>
      <c r="E766" s="241">
        <v>5061647</v>
      </c>
      <c r="F766" s="7"/>
      <c r="G766" s="7">
        <v>2223788</v>
      </c>
      <c r="H766" s="581"/>
      <c r="I766" s="7">
        <v>744459</v>
      </c>
      <c r="J766" s="244"/>
      <c r="K766" s="7">
        <f t="shared" ref="K766" si="377">SUM(E766:I766)</f>
        <v>8029894</v>
      </c>
      <c r="L766" s="6"/>
      <c r="M766" s="438">
        <f t="shared" ref="M766" si="378">+(K766-K765)/K765</f>
        <v>1.9806536568846025E-3</v>
      </c>
      <c r="N766" s="29"/>
      <c r="O766" s="29"/>
      <c r="P766" s="29"/>
      <c r="Q766" s="332">
        <f t="shared" ref="Q766" si="379">+K766-K765</f>
        <v>15873</v>
      </c>
      <c r="R766" s="6"/>
      <c r="S766" s="7">
        <f>68102+33322+10809</f>
        <v>112233</v>
      </c>
      <c r="T766" s="6"/>
      <c r="U766" s="243">
        <v>2.402125115017657E-2</v>
      </c>
      <c r="W766">
        <f t="shared" si="97"/>
        <v>756</v>
      </c>
      <c r="Y766" s="56"/>
    </row>
    <row r="767" spans="3:25" x14ac:dyDescent="0.3">
      <c r="C767" s="158">
        <f t="shared" si="244"/>
        <v>44666</v>
      </c>
      <c r="E767" s="241">
        <v>5068350</v>
      </c>
      <c r="F767" s="7"/>
      <c r="G767" s="7">
        <v>2226164</v>
      </c>
      <c r="H767" s="581"/>
      <c r="I767" s="7">
        <v>745652</v>
      </c>
      <c r="J767" s="244"/>
      <c r="K767" s="7">
        <f t="shared" ref="K767" si="380">SUM(E767:I767)</f>
        <v>8040166</v>
      </c>
      <c r="L767" s="6"/>
      <c r="M767" s="438">
        <f t="shared" ref="M767" si="381">+(K767-K766)/K766</f>
        <v>1.279219875131602E-3</v>
      </c>
      <c r="N767" s="29"/>
      <c r="O767" s="29"/>
      <c r="P767" s="29"/>
      <c r="Q767" s="332">
        <f t="shared" ref="Q767" si="382">+K767-K766</f>
        <v>10272</v>
      </c>
      <c r="R767" s="6"/>
      <c r="S767" s="7">
        <f>68144+33334+10813</f>
        <v>112291</v>
      </c>
      <c r="T767" s="6"/>
      <c r="U767" s="243">
        <v>2.402125115017657E-2</v>
      </c>
      <c r="W767">
        <f t="shared" si="97"/>
        <v>757</v>
      </c>
      <c r="Y767" s="56"/>
    </row>
    <row r="768" spans="3:25" x14ac:dyDescent="0.3">
      <c r="C768" s="158">
        <f t="shared" si="244"/>
        <v>44667</v>
      </c>
      <c r="E768" s="241">
        <v>5074112</v>
      </c>
      <c r="F768" s="7"/>
      <c r="G768" s="7">
        <v>2228327</v>
      </c>
      <c r="H768" s="581"/>
      <c r="I768" s="7">
        <v>745652</v>
      </c>
      <c r="J768" s="244"/>
      <c r="K768" s="7">
        <f t="shared" ref="K768" si="383">SUM(E768:I768)</f>
        <v>8048091</v>
      </c>
      <c r="L768" s="6"/>
      <c r="M768" s="438">
        <f t="shared" ref="M768" si="384">+(K768-K767)/K767</f>
        <v>9.8567616638760942E-4</v>
      </c>
      <c r="N768" s="29"/>
      <c r="O768" s="29"/>
      <c r="P768" s="29"/>
      <c r="Q768" s="332">
        <f t="shared" ref="Q768" si="385">+K768-K767</f>
        <v>7925</v>
      </c>
      <c r="R768" s="6"/>
      <c r="S768" s="7">
        <f>68114+33337+10813</f>
        <v>112264</v>
      </c>
      <c r="T768" s="6"/>
      <c r="U768" s="243">
        <v>2.402125115017657E-2</v>
      </c>
      <c r="W768">
        <f t="shared" si="97"/>
        <v>758</v>
      </c>
      <c r="Y768" s="56"/>
    </row>
    <row r="769" spans="3:25" x14ac:dyDescent="0.3">
      <c r="C769" s="347">
        <f t="shared" si="244"/>
        <v>44668</v>
      </c>
      <c r="D769" s="61"/>
      <c r="E769" s="241">
        <v>5074112</v>
      </c>
      <c r="F769" s="7"/>
      <c r="G769" s="7">
        <v>2229976</v>
      </c>
      <c r="H769" s="581"/>
      <c r="I769" s="7">
        <v>745652</v>
      </c>
      <c r="J769" s="244"/>
      <c r="K769" s="7">
        <f t="shared" ref="K769" si="386">SUM(E769:I769)</f>
        <v>8049740</v>
      </c>
      <c r="L769" s="6"/>
      <c r="M769" s="438">
        <f t="shared" ref="M769" si="387">+(K769-K768)/K768</f>
        <v>2.0489330948171436E-4</v>
      </c>
      <c r="N769" s="29"/>
      <c r="O769" s="29"/>
      <c r="P769" s="29"/>
      <c r="Q769" s="332">
        <f t="shared" ref="Q769" si="388">+K769-K768</f>
        <v>1649</v>
      </c>
      <c r="R769" s="6"/>
      <c r="S769" s="7">
        <f>68114+33337+10813</f>
        <v>112264</v>
      </c>
      <c r="T769" s="6"/>
      <c r="U769" s="243">
        <v>2.402125115017657E-2</v>
      </c>
      <c r="W769">
        <f t="shared" si="97"/>
        <v>759</v>
      </c>
      <c r="X769" s="56">
        <f>SUM(Q763:Q769)</f>
        <v>61739</v>
      </c>
      <c r="Y769" s="56">
        <f>+X769-X762</f>
        <v>19649</v>
      </c>
    </row>
    <row r="770" spans="3:25" x14ac:dyDescent="0.3">
      <c r="C770" s="158">
        <f t="shared" si="244"/>
        <v>44669</v>
      </c>
      <c r="E770" s="241">
        <v>5085778</v>
      </c>
      <c r="F770" s="7"/>
      <c r="G770" s="7">
        <v>2229976</v>
      </c>
      <c r="H770" s="581"/>
      <c r="I770" s="7">
        <v>747612</v>
      </c>
      <c r="J770" s="244"/>
      <c r="K770" s="7">
        <f t="shared" ref="K770" si="389">SUM(E770:I770)</f>
        <v>8063366</v>
      </c>
      <c r="L770" s="6"/>
      <c r="M770" s="438">
        <f t="shared" ref="M770" si="390">+(K770-K769)/K769</f>
        <v>1.6927254793322518E-3</v>
      </c>
      <c r="N770" s="29"/>
      <c r="O770" s="29"/>
      <c r="P770" s="29"/>
      <c r="Q770" s="332">
        <f t="shared" ref="Q770" si="391">+K770-K769</f>
        <v>13626</v>
      </c>
      <c r="R770" s="6"/>
      <c r="S770" s="7">
        <f>68125+33336+10813</f>
        <v>112274</v>
      </c>
      <c r="T770" s="6"/>
      <c r="U770" s="243">
        <v>2.402125115017657E-2</v>
      </c>
      <c r="W770">
        <f t="shared" si="97"/>
        <v>760</v>
      </c>
      <c r="Y770" s="59">
        <f>+Y769/X762</f>
        <v>0.46683297695414588</v>
      </c>
    </row>
    <row r="771" spans="3:25" x14ac:dyDescent="0.3">
      <c r="C771" s="158">
        <f t="shared" si="244"/>
        <v>44670</v>
      </c>
      <c r="E771" s="241">
        <v>5090408</v>
      </c>
      <c r="F771" s="7"/>
      <c r="G771" s="7">
        <v>2232789</v>
      </c>
      <c r="H771" s="581"/>
      <c r="I771" s="7">
        <v>748773</v>
      </c>
      <c r="J771" s="244"/>
      <c r="K771" s="7">
        <f t="shared" ref="K771" si="392">SUM(E771:I771)</f>
        <v>8071970</v>
      </c>
      <c r="L771" s="6"/>
      <c r="M771" s="438">
        <f t="shared" ref="M771" si="393">+(K771-K770)/K770</f>
        <v>1.067048178142974E-3</v>
      </c>
      <c r="N771" s="29"/>
      <c r="O771" s="29"/>
      <c r="P771" s="29"/>
      <c r="Q771" s="332">
        <f t="shared" ref="Q771" si="394">+K771-K770</f>
        <v>8604</v>
      </c>
      <c r="R771" s="6"/>
      <c r="S771" s="7">
        <f>68160+33349+10813</f>
        <v>112322</v>
      </c>
      <c r="T771" s="6"/>
      <c r="U771" s="243">
        <v>2.402125115017657E-2</v>
      </c>
      <c r="W771">
        <f t="shared" si="97"/>
        <v>761</v>
      </c>
      <c r="Y771" s="59"/>
    </row>
    <row r="772" spans="3:25" x14ac:dyDescent="0.3">
      <c r="C772" s="158">
        <f t="shared" si="244"/>
        <v>44671</v>
      </c>
      <c r="E772" s="241">
        <v>5098022</v>
      </c>
      <c r="F772" s="7"/>
      <c r="G772" s="7">
        <v>2235034</v>
      </c>
      <c r="H772" s="581"/>
      <c r="I772" s="7">
        <v>749783</v>
      </c>
      <c r="J772" s="244"/>
      <c r="K772" s="7">
        <f t="shared" ref="K772" si="395">SUM(E772:I772)</f>
        <v>8082839</v>
      </c>
      <c r="L772" s="6"/>
      <c r="M772" s="438">
        <f t="shared" ref="M772" si="396">+(K772-K771)/K771</f>
        <v>1.3465114464003211E-3</v>
      </c>
      <c r="N772" s="29"/>
      <c r="O772" s="29"/>
      <c r="P772" s="29"/>
      <c r="Q772" s="332">
        <f t="shared" ref="Q772" si="397">+K772-K771</f>
        <v>10869</v>
      </c>
      <c r="R772" s="6"/>
      <c r="S772" s="7">
        <f>68186+33356+10825</f>
        <v>112367</v>
      </c>
      <c r="T772" s="6"/>
      <c r="U772" s="243">
        <v>2.402125115017657E-2</v>
      </c>
      <c r="W772">
        <f t="shared" si="97"/>
        <v>762</v>
      </c>
      <c r="Y772" s="59"/>
    </row>
    <row r="773" spans="3:25" x14ac:dyDescent="0.3">
      <c r="C773" s="158">
        <f t="shared" si="244"/>
        <v>44672</v>
      </c>
      <c r="E773" s="241">
        <v>5105071</v>
      </c>
      <c r="F773" s="7"/>
      <c r="G773" s="7">
        <v>2237831</v>
      </c>
      <c r="H773" s="581"/>
      <c r="I773" s="7">
        <v>750660</v>
      </c>
      <c r="J773" s="244"/>
      <c r="K773" s="7">
        <f t="shared" ref="K773" si="398">SUM(E773:I773)</f>
        <v>8093562</v>
      </c>
      <c r="L773" s="6"/>
      <c r="M773" s="438">
        <f t="shared" ref="M773" si="399">+(K773-K772)/K772</f>
        <v>1.3266378310888044E-3</v>
      </c>
      <c r="N773" s="29"/>
      <c r="O773" s="29"/>
      <c r="P773" s="29"/>
      <c r="Q773" s="332">
        <f t="shared" ref="Q773" si="400">+K773-K772</f>
        <v>10723</v>
      </c>
      <c r="R773" s="6"/>
      <c r="S773" s="7">
        <f>68208+33363+10826</f>
        <v>112397</v>
      </c>
      <c r="T773" s="6"/>
      <c r="U773" s="243">
        <v>2.402125115017657E-2</v>
      </c>
      <c r="W773">
        <f t="shared" si="97"/>
        <v>763</v>
      </c>
      <c r="Y773" s="59"/>
    </row>
    <row r="774" spans="3:25" x14ac:dyDescent="0.3">
      <c r="C774" s="158">
        <f t="shared" si="244"/>
        <v>44673</v>
      </c>
      <c r="E774" s="241">
        <v>5113546</v>
      </c>
      <c r="F774" s="7"/>
      <c r="G774" s="7">
        <v>2240701</v>
      </c>
      <c r="H774" s="581"/>
      <c r="I774" s="7">
        <v>751810</v>
      </c>
      <c r="J774" s="244"/>
      <c r="K774" s="7">
        <f t="shared" ref="K774" si="401">SUM(E774:I774)</f>
        <v>8106057</v>
      </c>
      <c r="L774" s="6"/>
      <c r="M774" s="438">
        <f t="shared" ref="M774" si="402">+(K774-K773)/K773</f>
        <v>1.5438196433165026E-3</v>
      </c>
      <c r="N774" s="29"/>
      <c r="O774" s="29"/>
      <c r="P774" s="29"/>
      <c r="Q774" s="332">
        <f t="shared" ref="Q774" si="403">+K774-K773</f>
        <v>12495</v>
      </c>
      <c r="R774" s="6"/>
      <c r="S774" s="7">
        <f>68208+33363+10826</f>
        <v>112397</v>
      </c>
      <c r="T774" s="6"/>
      <c r="U774" s="243">
        <v>2.402125115017657E-2</v>
      </c>
      <c r="W774">
        <f t="shared" si="97"/>
        <v>764</v>
      </c>
      <c r="Y774" s="56"/>
    </row>
    <row r="775" spans="3:25" x14ac:dyDescent="0.3">
      <c r="C775" s="158">
        <f t="shared" si="244"/>
        <v>44674</v>
      </c>
      <c r="E775" s="241">
        <v>5118596</v>
      </c>
      <c r="F775" s="7"/>
      <c r="G775" s="7">
        <v>2243233</v>
      </c>
      <c r="H775" s="581"/>
      <c r="I775" s="7">
        <v>751810</v>
      </c>
      <c r="J775" s="244"/>
      <c r="K775" s="7">
        <f t="shared" ref="K775" si="404">SUM(E775:I775)</f>
        <v>8113639</v>
      </c>
      <c r="L775" s="6"/>
      <c r="M775" s="438">
        <f t="shared" ref="M775" si="405">+(K775-K774)/K774</f>
        <v>9.3534994880988378E-4</v>
      </c>
      <c r="N775" s="29"/>
      <c r="O775" s="29"/>
      <c r="P775" s="29"/>
      <c r="Q775" s="332">
        <f t="shared" ref="Q775" si="406">+K775-K774</f>
        <v>7582</v>
      </c>
      <c r="R775" s="6"/>
      <c r="S775" s="7">
        <f>68222+33374+10834</f>
        <v>112430</v>
      </c>
      <c r="T775" s="6"/>
      <c r="U775" s="243">
        <v>2.402125115017657E-2</v>
      </c>
      <c r="W775">
        <f t="shared" si="97"/>
        <v>765</v>
      </c>
      <c r="Y775" s="56"/>
    </row>
    <row r="776" spans="3:25" x14ac:dyDescent="0.3">
      <c r="C776" s="347">
        <f t="shared" si="244"/>
        <v>44675</v>
      </c>
      <c r="E776" s="241">
        <v>5123612</v>
      </c>
      <c r="F776" s="7"/>
      <c r="G776" s="7">
        <v>2244918</v>
      </c>
      <c r="H776" s="581"/>
      <c r="I776" s="7">
        <v>751810</v>
      </c>
      <c r="J776" s="244"/>
      <c r="K776" s="7">
        <f t="shared" ref="K776" si="407">SUM(E776:I776)</f>
        <v>8120340</v>
      </c>
      <c r="L776" s="6"/>
      <c r="M776" s="438">
        <f t="shared" ref="M776" si="408">+(K776-K775)/K775</f>
        <v>8.2589328906548592E-4</v>
      </c>
      <c r="N776" s="29"/>
      <c r="O776" s="29"/>
      <c r="P776" s="29"/>
      <c r="Q776" s="332">
        <f t="shared" ref="Q776" si="409">+K776-K775</f>
        <v>6701</v>
      </c>
      <c r="R776" s="6"/>
      <c r="S776" s="7">
        <f>68231+33376+10834</f>
        <v>112441</v>
      </c>
      <c r="T776" s="6"/>
      <c r="U776" s="243">
        <v>2.402125115017657E-2</v>
      </c>
      <c r="W776">
        <f t="shared" si="97"/>
        <v>766</v>
      </c>
      <c r="Y776" s="56"/>
    </row>
    <row r="777" spans="3:25" x14ac:dyDescent="0.3">
      <c r="C777" s="158">
        <f t="shared" si="244"/>
        <v>44676</v>
      </c>
      <c r="E777" s="241">
        <v>5130561</v>
      </c>
      <c r="F777" s="7"/>
      <c r="G777" s="7">
        <v>2246233</v>
      </c>
      <c r="H777" s="581"/>
      <c r="I777" s="7">
        <v>753836</v>
      </c>
      <c r="J777" s="244"/>
      <c r="K777" s="7">
        <f t="shared" ref="K777" si="410">SUM(E777:I777)</f>
        <v>8130630</v>
      </c>
      <c r="L777" s="6"/>
      <c r="M777" s="438">
        <f t="shared" ref="M777" si="411">+(K777-K776)/K776</f>
        <v>1.2671883197008993E-3</v>
      </c>
      <c r="N777" s="29"/>
      <c r="O777" s="29"/>
      <c r="P777" s="29"/>
      <c r="Q777" s="332">
        <f t="shared" ref="Q777" si="412">+K777-K776</f>
        <v>10290</v>
      </c>
      <c r="R777" s="6"/>
      <c r="S777" s="7">
        <f>68246+33395+10834</f>
        <v>112475</v>
      </c>
      <c r="T777" s="6"/>
      <c r="U777" s="243">
        <v>2.402125115017657E-2</v>
      </c>
      <c r="W777">
        <f t="shared" si="97"/>
        <v>767</v>
      </c>
      <c r="Y777" s="56"/>
    </row>
    <row r="778" spans="3:25" x14ac:dyDescent="0.3">
      <c r="C778" s="158">
        <f t="shared" si="244"/>
        <v>44677</v>
      </c>
      <c r="E778" s="241">
        <v>5135657</v>
      </c>
      <c r="F778" s="7"/>
      <c r="G778" s="7">
        <v>2248959</v>
      </c>
      <c r="H778" s="581"/>
      <c r="I778" s="7">
        <v>754924</v>
      </c>
      <c r="J778" s="244"/>
      <c r="K778" s="7">
        <f t="shared" ref="K778" si="413">SUM(E778:I778)</f>
        <v>8139540</v>
      </c>
      <c r="L778" s="6"/>
      <c r="M778" s="438">
        <f t="shared" ref="M778" si="414">+(K778-K777)/K777</f>
        <v>1.0958560406758148E-3</v>
      </c>
      <c r="N778" s="29"/>
      <c r="O778" s="29"/>
      <c r="P778" s="29"/>
      <c r="Q778" s="332">
        <f t="shared" ref="Q778" si="415">+K778-K777</f>
        <v>8910</v>
      </c>
      <c r="R778" s="6"/>
      <c r="S778" s="7">
        <f>68264+33407+10838</f>
        <v>112509</v>
      </c>
      <c r="T778" s="6"/>
      <c r="U778" s="243">
        <v>2.402125115017657E-2</v>
      </c>
      <c r="W778">
        <f t="shared" si="97"/>
        <v>768</v>
      </c>
      <c r="Y778" s="56"/>
    </row>
    <row r="779" spans="3:25" x14ac:dyDescent="0.3">
      <c r="C779" s="158">
        <f t="shared" si="244"/>
        <v>44678</v>
      </c>
      <c r="E779" s="241">
        <v>5143038</v>
      </c>
      <c r="F779" s="7"/>
      <c r="G779" s="7">
        <v>2252044</v>
      </c>
      <c r="H779" s="581"/>
      <c r="I779" s="7">
        <v>755971</v>
      </c>
      <c r="J779" s="244"/>
      <c r="K779" s="7">
        <f t="shared" ref="K779" si="416">SUM(E779:I779)</f>
        <v>8151053</v>
      </c>
      <c r="L779" s="6"/>
      <c r="M779" s="438">
        <f t="shared" ref="M779" si="417">+(K779-K778)/K778</f>
        <v>1.4144533966292936E-3</v>
      </c>
      <c r="N779" s="29"/>
      <c r="O779" s="29"/>
      <c r="P779" s="29"/>
      <c r="Q779" s="332">
        <f t="shared" ref="Q779" si="418">+K779-K778</f>
        <v>11513</v>
      </c>
      <c r="R779" s="6"/>
      <c r="S779" s="7">
        <f>68284+33416+10838</f>
        <v>112538</v>
      </c>
      <c r="T779" s="6"/>
      <c r="U779" s="243">
        <v>2.402125115017657E-2</v>
      </c>
      <c r="W779">
        <f t="shared" si="97"/>
        <v>769</v>
      </c>
      <c r="Y779" s="56"/>
    </row>
    <row r="780" spans="3:25" x14ac:dyDescent="0.3">
      <c r="C780" s="158">
        <f t="shared" si="244"/>
        <v>44679</v>
      </c>
      <c r="E780" s="241">
        <v>5152633</v>
      </c>
      <c r="F780" s="7"/>
      <c r="G780" s="7">
        <v>2255205</v>
      </c>
      <c r="H780" s="581"/>
      <c r="I780" s="7">
        <v>757227</v>
      </c>
      <c r="J780" s="244"/>
      <c r="K780" s="7">
        <f t="shared" ref="K780" si="419">SUM(E780:I780)</f>
        <v>8165065</v>
      </c>
      <c r="L780" s="6"/>
      <c r="M780" s="438">
        <f t="shared" ref="M780" si="420">+(K780-K779)/K779</f>
        <v>1.719041699274928E-3</v>
      </c>
      <c r="N780" s="29"/>
      <c r="O780" s="29"/>
      <c r="P780" s="29"/>
      <c r="Q780" s="332">
        <f t="shared" ref="Q780" si="421">+K780-K779</f>
        <v>14012</v>
      </c>
      <c r="R780" s="6"/>
      <c r="S780" s="7">
        <f>68306+33423+10840</f>
        <v>112569</v>
      </c>
      <c r="T780" s="6"/>
      <c r="U780" s="243">
        <v>2.402125115017657E-2</v>
      </c>
      <c r="W780">
        <f t="shared" si="97"/>
        <v>770</v>
      </c>
      <c r="Y780" s="56"/>
    </row>
    <row r="781" spans="3:25" x14ac:dyDescent="0.3">
      <c r="C781" s="158">
        <f t="shared" si="244"/>
        <v>44680</v>
      </c>
      <c r="E781" s="241">
        <v>5161440</v>
      </c>
      <c r="F781" s="7"/>
      <c r="G781" s="7">
        <v>2258440</v>
      </c>
      <c r="H781" s="581"/>
      <c r="I781" s="7">
        <v>758281</v>
      </c>
      <c r="J781" s="244"/>
      <c r="K781" s="7">
        <f t="shared" ref="K781" si="422">SUM(E781:I781)</f>
        <v>8178161</v>
      </c>
      <c r="L781" s="6"/>
      <c r="M781" s="438">
        <f t="shared" ref="M781" si="423">+(K781-K780)/K780</f>
        <v>1.6039063987855577E-3</v>
      </c>
      <c r="N781" s="29"/>
      <c r="O781" s="29"/>
      <c r="P781" s="29"/>
      <c r="Q781" s="332">
        <f t="shared" ref="Q781" si="424">+K781-K780</f>
        <v>13096</v>
      </c>
      <c r="R781" s="6"/>
      <c r="S781" s="7">
        <f>68324+33425+10850</f>
        <v>112599</v>
      </c>
      <c r="T781" s="6"/>
      <c r="U781" s="243">
        <v>2.402125115017657E-2</v>
      </c>
      <c r="W781">
        <f t="shared" si="97"/>
        <v>771</v>
      </c>
      <c r="Y781" s="56"/>
    </row>
    <row r="782" spans="3:25" x14ac:dyDescent="0.3">
      <c r="C782" s="158">
        <f t="shared" si="244"/>
        <v>44681</v>
      </c>
      <c r="E782" s="241">
        <v>5168122</v>
      </c>
      <c r="F782" s="7"/>
      <c r="G782" s="7">
        <v>2261694</v>
      </c>
      <c r="H782" s="581"/>
      <c r="I782" s="7">
        <v>758281</v>
      </c>
      <c r="J782" s="244"/>
      <c r="K782" s="7">
        <f t="shared" ref="K782" si="425">SUM(E782:I782)</f>
        <v>8188097</v>
      </c>
      <c r="L782" s="6"/>
      <c r="M782" s="438">
        <f t="shared" ref="M782" si="426">+(K782-K781)/K781</f>
        <v>1.2149430660511574E-3</v>
      </c>
      <c r="N782" s="29"/>
      <c r="O782" s="29"/>
      <c r="P782" s="29"/>
      <c r="Q782" s="332">
        <f t="shared" ref="Q782" si="427">+K782-K781</f>
        <v>9936</v>
      </c>
      <c r="R782" s="6"/>
      <c r="S782" s="7">
        <f>68344+33429+10850</f>
        <v>112623</v>
      </c>
      <c r="T782" s="6"/>
      <c r="U782" s="243">
        <v>2.402125115017657E-2</v>
      </c>
      <c r="W782">
        <f t="shared" si="97"/>
        <v>772</v>
      </c>
      <c r="Y782" s="56"/>
    </row>
    <row r="783" spans="3:25" x14ac:dyDescent="0.3">
      <c r="C783" s="347">
        <f t="shared" si="244"/>
        <v>44682</v>
      </c>
      <c r="E783" s="241">
        <v>5173907</v>
      </c>
      <c r="F783" s="7"/>
      <c r="G783" s="7">
        <v>2263991</v>
      </c>
      <c r="H783" s="581"/>
      <c r="I783" s="7">
        <v>758281</v>
      </c>
      <c r="J783" s="244"/>
      <c r="K783" s="7">
        <f t="shared" ref="K783" si="428">SUM(E783:I783)</f>
        <v>8196179</v>
      </c>
      <c r="L783" s="6"/>
      <c r="M783" s="438">
        <f t="shared" ref="M783" si="429">+(K783-K782)/K782</f>
        <v>9.8704253259334859E-4</v>
      </c>
      <c r="N783" s="29"/>
      <c r="O783" s="29"/>
      <c r="P783" s="29"/>
      <c r="Q783" s="332">
        <f t="shared" ref="Q783" si="430">+K783-K782</f>
        <v>8082</v>
      </c>
      <c r="R783" s="6"/>
      <c r="S783" s="7">
        <f>68354+33430+10850</f>
        <v>112634</v>
      </c>
      <c r="T783" s="6"/>
      <c r="U783" s="243">
        <v>2.402125115017657E-2</v>
      </c>
      <c r="W783">
        <f t="shared" si="97"/>
        <v>773</v>
      </c>
      <c r="Y783" s="56"/>
    </row>
    <row r="784" spans="3:25" x14ac:dyDescent="0.3">
      <c r="C784" s="158">
        <f t="shared" si="244"/>
        <v>44683</v>
      </c>
      <c r="E784" s="241">
        <v>5183114</v>
      </c>
      <c r="F784" s="7"/>
      <c r="G784" s="7">
        <v>2267006</v>
      </c>
      <c r="H784" s="581"/>
      <c r="I784" s="7">
        <v>760370</v>
      </c>
      <c r="J784" s="244"/>
      <c r="K784" s="7">
        <f t="shared" ref="K784" si="431">SUM(E784:I784)</f>
        <v>8210490</v>
      </c>
      <c r="L784" s="6"/>
      <c r="M784" s="438">
        <f t="shared" ref="M784" si="432">+(K784-K783)/K783</f>
        <v>1.746057522657814E-3</v>
      </c>
      <c r="N784" s="29"/>
      <c r="O784" s="29"/>
      <c r="P784" s="29"/>
      <c r="Q784" s="332">
        <f t="shared" ref="Q784" si="433">+K784-K783</f>
        <v>14311</v>
      </c>
      <c r="R784" s="6"/>
      <c r="S784" s="7">
        <f>68375+33444+10851</f>
        <v>112670</v>
      </c>
      <c r="T784" s="6"/>
      <c r="U784" s="243">
        <v>2.402125115017657E-2</v>
      </c>
      <c r="W784">
        <f t="shared" si="97"/>
        <v>774</v>
      </c>
      <c r="Y784" s="56"/>
    </row>
    <row r="785" spans="3:25" x14ac:dyDescent="0.3">
      <c r="C785" s="158">
        <f t="shared" si="244"/>
        <v>44684</v>
      </c>
      <c r="E785" s="241">
        <v>5188149</v>
      </c>
      <c r="F785" s="7"/>
      <c r="G785" s="7">
        <v>2269649</v>
      </c>
      <c r="H785" s="581"/>
      <c r="I785" s="7">
        <v>762097</v>
      </c>
      <c r="J785" s="244"/>
      <c r="K785" s="7">
        <f t="shared" ref="K785" si="434">SUM(E785:I785)</f>
        <v>8219895</v>
      </c>
      <c r="L785" s="6"/>
      <c r="M785" s="438">
        <f t="shared" ref="M785" si="435">+(K785-K784)/K784</f>
        <v>1.1454858358027353E-3</v>
      </c>
      <c r="N785" s="29"/>
      <c r="O785" s="29"/>
      <c r="P785" s="29"/>
      <c r="Q785" s="332">
        <f t="shared" ref="Q785" si="436">+K785-K784</f>
        <v>9405</v>
      </c>
      <c r="R785" s="6"/>
      <c r="S785" s="7">
        <f>68387+33455+10855</f>
        <v>112697</v>
      </c>
      <c r="T785" s="6"/>
      <c r="U785" s="243">
        <v>2.402125115017657E-2</v>
      </c>
      <c r="W785">
        <f t="shared" si="97"/>
        <v>775</v>
      </c>
      <c r="Y785" s="56"/>
    </row>
    <row r="786" spans="3:25" x14ac:dyDescent="0.3">
      <c r="C786" s="158">
        <f t="shared" si="244"/>
        <v>44685</v>
      </c>
      <c r="E786" s="241">
        <v>5196774</v>
      </c>
      <c r="F786" s="7"/>
      <c r="G786" s="7">
        <v>2277389</v>
      </c>
      <c r="H786" s="581"/>
      <c r="I786" s="7">
        <v>763149</v>
      </c>
      <c r="J786" s="244"/>
      <c r="K786" s="7">
        <f t="shared" ref="K786" si="437">SUM(E786:I786)</f>
        <v>8237312</v>
      </c>
      <c r="L786" s="6"/>
      <c r="M786" s="438">
        <f t="shared" ref="M786" si="438">+(K786-K785)/K785</f>
        <v>2.1188835137188494E-3</v>
      </c>
      <c r="N786" s="29"/>
      <c r="O786" s="29"/>
      <c r="P786" s="29"/>
      <c r="Q786" s="332">
        <f t="shared" ref="Q786" si="439">+K786-K785</f>
        <v>17417</v>
      </c>
      <c r="R786" s="6"/>
      <c r="S786" s="7">
        <f>68387+33455+10855</f>
        <v>112697</v>
      </c>
      <c r="T786" s="6"/>
      <c r="U786" s="243">
        <v>2.402125115017657E-2</v>
      </c>
      <c r="W786">
        <f t="shared" si="97"/>
        <v>776</v>
      </c>
      <c r="Y786" s="56"/>
    </row>
    <row r="787" spans="3:25" x14ac:dyDescent="0.3">
      <c r="C787" s="158">
        <f t="shared" si="244"/>
        <v>44686</v>
      </c>
      <c r="E787" s="241">
        <v>5207098</v>
      </c>
      <c r="F787" s="7"/>
      <c r="G787" s="7">
        <v>2277389</v>
      </c>
      <c r="H787" s="581"/>
      <c r="I787" s="7">
        <v>764569</v>
      </c>
      <c r="J787" s="244"/>
      <c r="K787" s="7">
        <f t="shared" ref="K787" si="440">SUM(E787:I787)</f>
        <v>8249056</v>
      </c>
      <c r="L787" s="6"/>
      <c r="M787" s="438">
        <f t="shared" ref="M787" si="441">+(K787-K786)/K786</f>
        <v>1.4257078037107252E-3</v>
      </c>
      <c r="N787" s="29"/>
      <c r="O787" s="29"/>
      <c r="P787" s="29"/>
      <c r="Q787" s="332">
        <f t="shared" ref="Q787" si="442">+K787-K786</f>
        <v>11744</v>
      </c>
      <c r="R787" s="6"/>
      <c r="S787" s="7">
        <f>68430+33474+10858</f>
        <v>112762</v>
      </c>
      <c r="T787" s="6"/>
      <c r="U787" s="243">
        <v>2.402125115017657E-2</v>
      </c>
      <c r="W787">
        <f t="shared" si="97"/>
        <v>777</v>
      </c>
      <c r="Y787" s="56"/>
    </row>
    <row r="788" spans="3:25" x14ac:dyDescent="0.3">
      <c r="C788" s="158">
        <f t="shared" si="244"/>
        <v>44687</v>
      </c>
      <c r="E788" s="241">
        <v>5220948</v>
      </c>
      <c r="F788" s="7"/>
      <c r="G788" s="7">
        <v>2281655</v>
      </c>
      <c r="H788" s="581"/>
      <c r="I788" s="7">
        <v>766172</v>
      </c>
      <c r="J788" s="244"/>
      <c r="K788" s="7">
        <f t="shared" ref="K788" si="443">SUM(E788:I788)</f>
        <v>8268775</v>
      </c>
      <c r="L788" s="6"/>
      <c r="M788" s="438">
        <f t="shared" ref="M788" si="444">+(K788-K787)/K787</f>
        <v>2.3904553442236302E-3</v>
      </c>
      <c r="N788" s="29"/>
      <c r="O788" s="29"/>
      <c r="P788" s="29"/>
      <c r="Q788" s="332">
        <f t="shared" ref="Q788" si="445">+K788-K787</f>
        <v>19719</v>
      </c>
      <c r="R788" s="6"/>
      <c r="S788" s="7">
        <f>68449+33482+10874</f>
        <v>112805</v>
      </c>
      <c r="T788" s="6"/>
      <c r="U788" s="243">
        <v>2.402125115017657E-2</v>
      </c>
      <c r="W788">
        <f t="shared" si="97"/>
        <v>778</v>
      </c>
      <c r="Y788" s="56"/>
    </row>
    <row r="789" spans="3:25" x14ac:dyDescent="0.3">
      <c r="C789" s="158">
        <f t="shared" si="244"/>
        <v>44688</v>
      </c>
      <c r="E789" s="241">
        <v>5229056</v>
      </c>
      <c r="F789" s="7"/>
      <c r="G789" s="7">
        <v>2285641</v>
      </c>
      <c r="H789" s="581"/>
      <c r="I789" s="7">
        <v>766172</v>
      </c>
      <c r="J789" s="244"/>
      <c r="K789" s="7">
        <f t="shared" ref="K789" si="446">SUM(E789:I789)</f>
        <v>8280869</v>
      </c>
      <c r="L789" s="6"/>
      <c r="M789" s="438">
        <f t="shared" ref="M789" si="447">+(K789-K788)/K788</f>
        <v>1.4626108462257106E-3</v>
      </c>
      <c r="N789" s="29"/>
      <c r="O789" s="29"/>
      <c r="P789" s="29"/>
      <c r="Q789" s="332">
        <f t="shared" ref="Q789" si="448">+K789-K788</f>
        <v>12094</v>
      </c>
      <c r="R789" s="6"/>
      <c r="S789" s="7">
        <f>68460+33487+10874</f>
        <v>112821</v>
      </c>
      <c r="T789" s="6"/>
      <c r="U789" s="243">
        <v>2.402125115017657E-2</v>
      </c>
      <c r="W789">
        <f t="shared" si="97"/>
        <v>779</v>
      </c>
      <c r="Y789" s="56"/>
    </row>
    <row r="790" spans="3:25" x14ac:dyDescent="0.3">
      <c r="C790" s="347">
        <f t="shared" si="244"/>
        <v>44689</v>
      </c>
      <c r="E790" s="241">
        <v>5229056</v>
      </c>
      <c r="F790" s="7"/>
      <c r="G790" s="7">
        <v>2288950</v>
      </c>
      <c r="H790" s="581"/>
      <c r="I790" s="7">
        <v>766172</v>
      </c>
      <c r="J790" s="244"/>
      <c r="K790" s="7">
        <f t="shared" ref="K790" si="449">SUM(E790:I790)</f>
        <v>8284178</v>
      </c>
      <c r="L790" s="6"/>
      <c r="M790" s="438">
        <f t="shared" ref="M790" si="450">+(K790-K789)/K789</f>
        <v>3.9959574291055684E-4</v>
      </c>
      <c r="N790" s="29"/>
      <c r="O790" s="29"/>
      <c r="P790" s="29"/>
      <c r="Q790" s="332">
        <f t="shared" ref="Q790" si="451">+K790-K789</f>
        <v>3309</v>
      </c>
      <c r="R790" s="6"/>
      <c r="S790" s="7">
        <f>68460+33487+10874</f>
        <v>112821</v>
      </c>
      <c r="T790" s="6"/>
      <c r="U790" s="243">
        <v>2.402125115017657E-2</v>
      </c>
      <c r="W790">
        <f t="shared" si="97"/>
        <v>780</v>
      </c>
      <c r="Y790" s="56"/>
    </row>
    <row r="791" spans="3:25" x14ac:dyDescent="0.3">
      <c r="C791" s="158">
        <f t="shared" si="244"/>
        <v>44690</v>
      </c>
      <c r="E791" s="241">
        <v>5240000</v>
      </c>
      <c r="F791" s="7"/>
      <c r="G791" s="7">
        <v>2290000</v>
      </c>
      <c r="H791" s="581"/>
      <c r="I791" s="7">
        <v>768000</v>
      </c>
      <c r="J791" s="244"/>
      <c r="K791" s="7">
        <f t="shared" ref="K791:K792" si="452">SUM(E791:I791)</f>
        <v>8298000</v>
      </c>
      <c r="L791" s="6"/>
      <c r="M791" s="438">
        <f t="shared" ref="M791:M792" si="453">+(K791-K790)/K790</f>
        <v>1.66848177332742E-3</v>
      </c>
      <c r="N791" s="29"/>
      <c r="O791" s="29"/>
      <c r="P791" s="29"/>
      <c r="Q791" s="332">
        <f t="shared" ref="Q791:Q792" si="454">+K791-K790</f>
        <v>13822</v>
      </c>
      <c r="R791" s="6"/>
      <c r="S791" s="7">
        <f>68460+33487+10874</f>
        <v>112821</v>
      </c>
      <c r="T791" s="6"/>
      <c r="U791" s="243">
        <v>2.402125115017657E-2</v>
      </c>
      <c r="W791">
        <f t="shared" si="97"/>
        <v>781</v>
      </c>
      <c r="Y791" s="56"/>
    </row>
    <row r="792" spans="3:25" x14ac:dyDescent="0.3">
      <c r="C792" s="158">
        <f t="shared" si="244"/>
        <v>44691</v>
      </c>
      <c r="E792" s="241">
        <v>5254756</v>
      </c>
      <c r="F792" s="7"/>
      <c r="G792" s="7">
        <v>2295482</v>
      </c>
      <c r="H792" s="581"/>
      <c r="I792" s="7">
        <v>772709</v>
      </c>
      <c r="J792" s="244"/>
      <c r="K792" s="7">
        <f t="shared" si="452"/>
        <v>8322947</v>
      </c>
      <c r="L792" s="6"/>
      <c r="M792" s="438">
        <f t="shared" si="453"/>
        <v>3.0063870812243915E-3</v>
      </c>
      <c r="N792" s="29"/>
      <c r="O792" s="29"/>
      <c r="P792" s="29"/>
      <c r="Q792" s="332">
        <f t="shared" si="454"/>
        <v>24947</v>
      </c>
      <c r="R792" s="6"/>
      <c r="S792" s="7">
        <f>68529+33503+10883</f>
        <v>112915</v>
      </c>
      <c r="T792" s="6"/>
      <c r="U792" s="243">
        <v>2.402125115017657E-2</v>
      </c>
      <c r="W792">
        <f t="shared" si="97"/>
        <v>782</v>
      </c>
      <c r="Y792" s="56"/>
    </row>
    <row r="793" spans="3:25" x14ac:dyDescent="0.3">
      <c r="C793" s="158">
        <f t="shared" si="244"/>
        <v>44692</v>
      </c>
      <c r="E793" s="241">
        <v>5264277</v>
      </c>
      <c r="F793" s="7"/>
      <c r="G793" s="7">
        <v>2300407</v>
      </c>
      <c r="H793" s="581"/>
      <c r="I793" s="7">
        <v>775101</v>
      </c>
      <c r="J793" s="244"/>
      <c r="K793" s="7">
        <f t="shared" ref="K793" si="455">SUM(E793:I793)</f>
        <v>8339785</v>
      </c>
      <c r="L793" s="6"/>
      <c r="M793" s="438">
        <f t="shared" ref="M793" si="456">+(K793-K792)/K792</f>
        <v>2.0230814878431881E-3</v>
      </c>
      <c r="N793" s="29"/>
      <c r="O793" s="29"/>
      <c r="P793" s="29"/>
      <c r="Q793" s="332">
        <f t="shared" ref="Q793" si="457">+K793-K792</f>
        <v>16838</v>
      </c>
      <c r="R793" s="6"/>
      <c r="S793" s="7">
        <f>68558+33517+10883</f>
        <v>112958</v>
      </c>
      <c r="T793" s="6"/>
      <c r="U793" s="243">
        <v>2.402125115017657E-2</v>
      </c>
      <c r="W793">
        <f t="shared" si="97"/>
        <v>783</v>
      </c>
      <c r="Y793" s="56"/>
    </row>
    <row r="794" spans="3:25" x14ac:dyDescent="0.3">
      <c r="C794" s="158">
        <f t="shared" si="244"/>
        <v>44693</v>
      </c>
      <c r="E794" s="241">
        <v>5277782</v>
      </c>
      <c r="F794" s="7"/>
      <c r="G794" s="7">
        <v>2306574</v>
      </c>
      <c r="H794" s="581"/>
      <c r="I794" s="7">
        <v>777064</v>
      </c>
      <c r="J794" s="244"/>
      <c r="K794" s="7">
        <f t="shared" ref="K794" si="458">SUM(E794:I794)</f>
        <v>8361420</v>
      </c>
      <c r="L794" s="6"/>
      <c r="M794" s="438">
        <f t="shared" ref="M794" si="459">+(K794-K793)/K793</f>
        <v>2.5941915768811787E-3</v>
      </c>
      <c r="N794" s="29"/>
      <c r="O794" s="29"/>
      <c r="P794" s="29"/>
      <c r="Q794" s="332">
        <f t="shared" ref="Q794" si="460">+K794-K793</f>
        <v>21635</v>
      </c>
      <c r="R794" s="6"/>
      <c r="S794" s="7">
        <f>68579+33529+10883</f>
        <v>112991</v>
      </c>
      <c r="T794" s="6"/>
      <c r="U794" s="243">
        <v>2.402125115017657E-2</v>
      </c>
      <c r="W794">
        <f t="shared" si="97"/>
        <v>784</v>
      </c>
      <c r="Y794" s="56"/>
    </row>
    <row r="795" spans="3:25" x14ac:dyDescent="0.3">
      <c r="C795" s="158">
        <f t="shared" si="244"/>
        <v>44694</v>
      </c>
      <c r="E795" s="241">
        <v>5280137</v>
      </c>
      <c r="F795" s="7"/>
      <c r="G795" s="7">
        <v>2313062</v>
      </c>
      <c r="H795" s="581"/>
      <c r="I795" s="7">
        <v>779460</v>
      </c>
      <c r="J795" s="244"/>
      <c r="K795" s="7">
        <f t="shared" ref="K795" si="461">SUM(E795:I795)</f>
        <v>8372659</v>
      </c>
      <c r="L795" s="6"/>
      <c r="M795" s="438">
        <f t="shared" ref="M795" si="462">+(K795-K794)/K794</f>
        <v>1.3441496779255198E-3</v>
      </c>
      <c r="N795" s="29"/>
      <c r="O795" s="29"/>
      <c r="P795" s="29"/>
      <c r="Q795" s="332">
        <f t="shared" ref="Q795" si="463">+K795-K794</f>
        <v>11239</v>
      </c>
      <c r="R795" s="6"/>
      <c r="S795" s="7">
        <f>68603+33537+10914</f>
        <v>113054</v>
      </c>
      <c r="T795" s="6"/>
      <c r="U795" s="243">
        <v>2.402125115017657E-2</v>
      </c>
      <c r="W795">
        <f t="shared" si="97"/>
        <v>785</v>
      </c>
      <c r="Y795" s="56"/>
    </row>
    <row r="796" spans="3:25" x14ac:dyDescent="0.3">
      <c r="C796" s="158">
        <f t="shared" si="244"/>
        <v>44695</v>
      </c>
      <c r="E796" s="241">
        <v>5290000</v>
      </c>
      <c r="F796" s="7"/>
      <c r="G796" s="7">
        <v>2319000</v>
      </c>
      <c r="H796" s="581"/>
      <c r="I796" s="7">
        <v>779460</v>
      </c>
      <c r="J796" s="244"/>
      <c r="K796" s="7">
        <f t="shared" ref="K796" si="464">SUM(E796:I796)</f>
        <v>8388460</v>
      </c>
      <c r="L796" s="6"/>
      <c r="M796" s="438">
        <f t="shared" ref="M796" si="465">+(K796-K795)/K795</f>
        <v>1.8872140857522084E-3</v>
      </c>
      <c r="N796" s="29"/>
      <c r="O796" s="29"/>
      <c r="P796" s="29"/>
      <c r="Q796" s="332">
        <f t="shared" ref="Q796" si="466">+K796-K795</f>
        <v>15801</v>
      </c>
      <c r="R796" s="6"/>
      <c r="S796" s="7">
        <f>68637+33545+10914</f>
        <v>113096</v>
      </c>
      <c r="T796" s="6"/>
      <c r="U796" s="243">
        <v>2.402125115017657E-2</v>
      </c>
      <c r="W796">
        <f t="shared" ref="W796:W853" si="467">+W795+1</f>
        <v>786</v>
      </c>
      <c r="Y796" s="56"/>
    </row>
    <row r="797" spans="3:25" x14ac:dyDescent="0.3">
      <c r="C797" s="347">
        <f t="shared" si="244"/>
        <v>44696</v>
      </c>
      <c r="E797" s="241">
        <v>5297318</v>
      </c>
      <c r="F797" s="7"/>
      <c r="G797" s="7">
        <v>2322204</v>
      </c>
      <c r="H797" s="581"/>
      <c r="I797" s="7">
        <v>779460</v>
      </c>
      <c r="J797" s="244"/>
      <c r="K797" s="7">
        <f t="shared" ref="K797" si="468">SUM(E797:I797)</f>
        <v>8398982</v>
      </c>
      <c r="L797" s="6"/>
      <c r="M797" s="438">
        <f t="shared" ref="M797" si="469">+(K797-K796)/K796</f>
        <v>1.2543422749825355E-3</v>
      </c>
      <c r="N797" s="29"/>
      <c r="O797" s="29"/>
      <c r="P797" s="29"/>
      <c r="Q797" s="332">
        <f t="shared" ref="Q797" si="470">+K797-K796</f>
        <v>10522</v>
      </c>
      <c r="R797" s="6"/>
      <c r="S797" s="7">
        <f>68637+33545+10914</f>
        <v>113096</v>
      </c>
      <c r="T797" s="6"/>
      <c r="U797" s="243">
        <v>2.402125115017657E-2</v>
      </c>
      <c r="W797">
        <f t="shared" si="467"/>
        <v>787</v>
      </c>
      <c r="Y797" s="56"/>
    </row>
    <row r="798" spans="3:25" x14ac:dyDescent="0.3">
      <c r="C798" s="158">
        <f t="shared" si="244"/>
        <v>44697</v>
      </c>
      <c r="E798" s="241">
        <v>5315176</v>
      </c>
      <c r="F798" s="7"/>
      <c r="G798" s="7">
        <v>2325525</v>
      </c>
      <c r="H798" s="581"/>
      <c r="I798" s="7">
        <v>789933</v>
      </c>
      <c r="J798" s="244"/>
      <c r="K798" s="7">
        <f t="shared" ref="K798" si="471">SUM(E798:I798)</f>
        <v>8430634</v>
      </c>
      <c r="L798" s="6"/>
      <c r="M798" s="438">
        <f t="shared" ref="M798" si="472">+(K798-K797)/K797</f>
        <v>3.768551950700692E-3</v>
      </c>
      <c r="N798" s="29"/>
      <c r="O798" s="29"/>
      <c r="P798" s="29"/>
      <c r="Q798" s="332">
        <f t="shared" ref="Q798" si="473">+K798-K797</f>
        <v>31652</v>
      </c>
      <c r="R798" s="6"/>
      <c r="S798" s="7">
        <f>68670+33553+10914</f>
        <v>113137</v>
      </c>
      <c r="T798" s="6"/>
      <c r="U798" s="243">
        <v>2.402125115017657E-2</v>
      </c>
      <c r="W798">
        <f t="shared" si="467"/>
        <v>788</v>
      </c>
      <c r="Y798" s="56"/>
    </row>
    <row r="799" spans="3:25" x14ac:dyDescent="0.3">
      <c r="C799" s="158">
        <f t="shared" si="244"/>
        <v>44698</v>
      </c>
      <c r="E799" s="241">
        <v>5323334</v>
      </c>
      <c r="F799" s="7"/>
      <c r="G799" s="7">
        <v>2330144</v>
      </c>
      <c r="H799" s="581"/>
      <c r="I799" s="7">
        <v>791690</v>
      </c>
      <c r="J799" s="244"/>
      <c r="K799" s="7">
        <f t="shared" ref="K799" si="474">SUM(E799:I799)</f>
        <v>8445168</v>
      </c>
      <c r="L799" s="6"/>
      <c r="M799" s="438">
        <f t="shared" ref="M799" si="475">+(K799-K798)/K798</f>
        <v>1.7239510100901072E-3</v>
      </c>
      <c r="N799" s="29"/>
      <c r="O799" s="29"/>
      <c r="P799" s="29"/>
      <c r="Q799" s="332">
        <f t="shared" ref="Q799" si="476">+K799-K798</f>
        <v>14534</v>
      </c>
      <c r="R799" s="6"/>
      <c r="S799" s="7">
        <f>68699+33571+10922</f>
        <v>113192</v>
      </c>
      <c r="T799" s="6"/>
      <c r="U799" s="243">
        <v>2.402125115017657E-2</v>
      </c>
      <c r="W799">
        <f t="shared" si="467"/>
        <v>789</v>
      </c>
      <c r="Y799" s="56"/>
    </row>
    <row r="800" spans="3:25" x14ac:dyDescent="0.3">
      <c r="C800" s="158">
        <f t="shared" si="244"/>
        <v>44699</v>
      </c>
      <c r="E800" s="241">
        <v>5333813</v>
      </c>
      <c r="F800" s="7"/>
      <c r="G800" s="7">
        <v>2335255</v>
      </c>
      <c r="H800" s="581"/>
      <c r="I800" s="7">
        <v>793615</v>
      </c>
      <c r="J800" s="244"/>
      <c r="K800" s="7">
        <f t="shared" ref="K800" si="477">SUM(E800:I800)</f>
        <v>8462683</v>
      </c>
      <c r="L800" s="6"/>
      <c r="M800" s="438">
        <f t="shared" ref="M800" si="478">+(K800-K799)/K799</f>
        <v>2.0739670306144293E-3</v>
      </c>
      <c r="N800" s="29"/>
      <c r="O800" s="29"/>
      <c r="P800" s="29"/>
      <c r="Q800" s="332">
        <f t="shared" ref="Q800" si="479">+K800-K799</f>
        <v>17515</v>
      </c>
      <c r="R800" s="6"/>
      <c r="S800" s="7">
        <f>68720+33586+10922</f>
        <v>113228</v>
      </c>
      <c r="T800" s="6"/>
      <c r="U800" s="243">
        <v>2.402125115017657E-2</v>
      </c>
      <c r="W800">
        <f t="shared" si="467"/>
        <v>790</v>
      </c>
      <c r="Y800" s="56"/>
    </row>
    <row r="801" spans="3:25" x14ac:dyDescent="0.3">
      <c r="C801" s="158">
        <f t="shared" si="244"/>
        <v>44700</v>
      </c>
      <c r="E801" s="241">
        <v>5340000</v>
      </c>
      <c r="F801" s="7"/>
      <c r="G801" s="7">
        <v>2340000</v>
      </c>
      <c r="H801" s="581"/>
      <c r="I801" s="7">
        <v>795000</v>
      </c>
      <c r="J801" s="244"/>
      <c r="K801" s="7">
        <f t="shared" ref="K801" si="480">SUM(E801:I801)</f>
        <v>8475000</v>
      </c>
      <c r="L801" s="6"/>
      <c r="M801" s="438">
        <f t="shared" ref="M801" si="481">+(K801-K800)/K800</f>
        <v>1.4554485852772696E-3</v>
      </c>
      <c r="N801" s="29"/>
      <c r="O801" s="29"/>
      <c r="P801" s="29"/>
      <c r="Q801" s="332">
        <f t="shared" ref="Q801" si="482">+K801-K800</f>
        <v>12317</v>
      </c>
      <c r="R801" s="6"/>
      <c r="S801" s="7">
        <f>68720+33586+10922</f>
        <v>113228</v>
      </c>
      <c r="T801" s="6"/>
      <c r="U801" s="243">
        <v>2.402125115017657E-2</v>
      </c>
      <c r="W801">
        <f t="shared" si="467"/>
        <v>791</v>
      </c>
      <c r="Y801" s="56"/>
    </row>
    <row r="802" spans="3:25" x14ac:dyDescent="0.3">
      <c r="C802" s="158">
        <f t="shared" si="244"/>
        <v>44701</v>
      </c>
      <c r="E802" s="241">
        <v>5355624</v>
      </c>
      <c r="F802" s="7"/>
      <c r="G802" s="7">
        <v>2347382</v>
      </c>
      <c r="H802" s="581"/>
      <c r="I802" s="7">
        <v>797616</v>
      </c>
      <c r="J802" s="244"/>
      <c r="K802" s="7">
        <f t="shared" ref="K802" si="483">SUM(E802:I802)</f>
        <v>8500622</v>
      </c>
      <c r="L802" s="6"/>
      <c r="M802" s="438">
        <f t="shared" ref="M802" si="484">+(K802-K801)/K801</f>
        <v>3.023244837758112E-3</v>
      </c>
      <c r="N802" s="29"/>
      <c r="O802" s="29"/>
      <c r="P802" s="29"/>
      <c r="Q802" s="332">
        <f t="shared" ref="Q802" si="485">+K802-K801</f>
        <v>25622</v>
      </c>
      <c r="R802" s="6"/>
      <c r="S802" s="7">
        <f>68777+33603+10926</f>
        <v>113306</v>
      </c>
      <c r="T802" s="6"/>
      <c r="U802" s="243">
        <v>2.402125115017657E-2</v>
      </c>
      <c r="W802">
        <f t="shared" si="467"/>
        <v>792</v>
      </c>
      <c r="Y802" s="56"/>
    </row>
    <row r="803" spans="3:25" x14ac:dyDescent="0.3">
      <c r="C803" s="158">
        <f t="shared" si="244"/>
        <v>44702</v>
      </c>
      <c r="E803" s="241">
        <v>5362799</v>
      </c>
      <c r="F803" s="7"/>
      <c r="G803" s="7">
        <v>2352650</v>
      </c>
      <c r="H803" s="581"/>
      <c r="I803" s="7">
        <v>797616</v>
      </c>
      <c r="J803" s="244"/>
      <c r="K803" s="7">
        <f t="shared" ref="K803" si="486">SUM(E803:I803)</f>
        <v>8513065</v>
      </c>
      <c r="L803" s="6"/>
      <c r="M803" s="438">
        <f t="shared" ref="M803" si="487">+(K803-K802)/K802</f>
        <v>1.4637752390354495E-3</v>
      </c>
      <c r="N803" s="29"/>
      <c r="O803" s="29"/>
      <c r="P803" s="29"/>
      <c r="Q803" s="332">
        <f t="shared" ref="Q803" si="488">+K803-K802</f>
        <v>12443</v>
      </c>
      <c r="R803" s="6"/>
      <c r="S803" s="7">
        <f>68796+33610+10926</f>
        <v>113332</v>
      </c>
      <c r="T803" s="6"/>
      <c r="U803" s="243">
        <v>2.402125115017657E-2</v>
      </c>
      <c r="W803">
        <f t="shared" si="467"/>
        <v>793</v>
      </c>
      <c r="Y803" s="56"/>
    </row>
    <row r="804" spans="3:25" x14ac:dyDescent="0.3">
      <c r="C804" s="347">
        <f t="shared" si="244"/>
        <v>44703</v>
      </c>
      <c r="E804" s="241">
        <v>5368965</v>
      </c>
      <c r="F804" s="7"/>
      <c r="G804" s="7">
        <v>2356577</v>
      </c>
      <c r="H804" s="581"/>
      <c r="I804" s="7">
        <v>797616</v>
      </c>
      <c r="J804" s="244"/>
      <c r="K804" s="7">
        <f t="shared" ref="K804" si="489">SUM(E804:I804)</f>
        <v>8523158</v>
      </c>
      <c r="L804" s="6"/>
      <c r="M804" s="438">
        <f t="shared" ref="M804" si="490">+(K804-K803)/K803</f>
        <v>1.1855894439899144E-3</v>
      </c>
      <c r="N804" s="29"/>
      <c r="O804" s="29"/>
      <c r="P804" s="29"/>
      <c r="Q804" s="332">
        <f t="shared" ref="Q804" si="491">+K804-K803</f>
        <v>10093</v>
      </c>
      <c r="R804" s="6"/>
      <c r="S804" s="7">
        <f>68805+33610+10926</f>
        <v>113341</v>
      </c>
      <c r="T804" s="6"/>
      <c r="U804" s="243">
        <v>2.402125115017657E-2</v>
      </c>
      <c r="W804">
        <f t="shared" si="467"/>
        <v>794</v>
      </c>
      <c r="Y804" s="56"/>
    </row>
    <row r="805" spans="3:25" x14ac:dyDescent="0.3">
      <c r="C805" s="158">
        <f>+C804+1</f>
        <v>44704</v>
      </c>
      <c r="E805" s="241">
        <v>5380498</v>
      </c>
      <c r="F805" s="7"/>
      <c r="G805" s="7">
        <v>2359532</v>
      </c>
      <c r="H805" s="581"/>
      <c r="I805" s="7">
        <v>801078</v>
      </c>
      <c r="J805" s="244"/>
      <c r="K805" s="7">
        <f t="shared" ref="K805" si="492">SUM(E805:I805)</f>
        <v>8541108</v>
      </c>
      <c r="L805" s="6"/>
      <c r="M805" s="438">
        <f t="shared" ref="M805" si="493">+(K805-K804)/K804</f>
        <v>2.1060268975419674E-3</v>
      </c>
      <c r="N805" s="29"/>
      <c r="O805" s="29"/>
      <c r="P805" s="29"/>
      <c r="Q805" s="332">
        <f t="shared" ref="Q805" si="494">+K805-K804</f>
        <v>17950</v>
      </c>
      <c r="R805" s="6"/>
      <c r="S805" s="7">
        <f>68830+33619+10926</f>
        <v>113375</v>
      </c>
      <c r="T805" s="6"/>
      <c r="U805" s="243">
        <v>2.402125115017657E-2</v>
      </c>
      <c r="W805">
        <f t="shared" si="467"/>
        <v>795</v>
      </c>
      <c r="Y805" s="56"/>
    </row>
    <row r="806" spans="3:25" x14ac:dyDescent="0.3">
      <c r="C806" s="158">
        <f t="shared" si="244"/>
        <v>44705</v>
      </c>
      <c r="E806" s="241">
        <v>5386913</v>
      </c>
      <c r="F806" s="7"/>
      <c r="G806" s="7">
        <v>2365656</v>
      </c>
      <c r="H806" s="581"/>
      <c r="I806" s="7">
        <v>802106</v>
      </c>
      <c r="J806" s="244"/>
      <c r="K806" s="7">
        <f t="shared" ref="K806" si="495">SUM(E806:I806)</f>
        <v>8554675</v>
      </c>
      <c r="L806" s="6"/>
      <c r="M806" s="438">
        <f t="shared" ref="M806" si="496">+(K806-K805)/K805</f>
        <v>1.5884355987536979E-3</v>
      </c>
      <c r="N806" s="29"/>
      <c r="O806" s="29"/>
      <c r="P806" s="29"/>
      <c r="Q806" s="332">
        <f t="shared" ref="Q806" si="497">+K806-K805</f>
        <v>13567</v>
      </c>
      <c r="R806" s="6"/>
      <c r="S806" s="7">
        <f>68870+33640+10937</f>
        <v>113447</v>
      </c>
      <c r="T806" s="6"/>
      <c r="U806" s="243">
        <v>2.402125115017657E-2</v>
      </c>
      <c r="W806">
        <f t="shared" si="467"/>
        <v>796</v>
      </c>
      <c r="Y806" s="56"/>
    </row>
    <row r="807" spans="3:25" x14ac:dyDescent="0.3">
      <c r="C807" s="158">
        <f t="shared" si="244"/>
        <v>44706</v>
      </c>
      <c r="E807" s="241">
        <v>5395097</v>
      </c>
      <c r="F807" s="7"/>
      <c r="G807" s="7">
        <v>2370508</v>
      </c>
      <c r="H807" s="581"/>
      <c r="I807" s="7">
        <v>803748</v>
      </c>
      <c r="J807" s="244"/>
      <c r="K807" s="7">
        <f t="shared" ref="K807" si="498">SUM(E807:I807)</f>
        <v>8569353</v>
      </c>
      <c r="L807" s="6"/>
      <c r="M807" s="438">
        <f t="shared" ref="M807" si="499">+(K807-K806)/K806</f>
        <v>1.7157869819718458E-3</v>
      </c>
      <c r="N807" s="29"/>
      <c r="O807" s="29"/>
      <c r="P807" s="29"/>
      <c r="Q807" s="332">
        <f t="shared" ref="Q807" si="500">+K807-K806</f>
        <v>14678</v>
      </c>
      <c r="R807" s="6"/>
      <c r="S807" s="7">
        <f>68901+33651+10936</f>
        <v>113488</v>
      </c>
      <c r="T807" s="6"/>
      <c r="U807" s="243">
        <v>2.402125115017657E-2</v>
      </c>
      <c r="W807">
        <f t="shared" si="467"/>
        <v>797</v>
      </c>
      <c r="Y807" s="56"/>
    </row>
    <row r="808" spans="3:25" x14ac:dyDescent="0.3">
      <c r="C808" s="158">
        <f t="shared" si="244"/>
        <v>44707</v>
      </c>
      <c r="E808" s="241">
        <v>5404986</v>
      </c>
      <c r="F808" s="7"/>
      <c r="G808" s="7">
        <v>2375979</v>
      </c>
      <c r="H808" s="581"/>
      <c r="I808" s="7">
        <v>805329</v>
      </c>
      <c r="J808" s="244"/>
      <c r="K808" s="7">
        <f t="shared" ref="K808" si="501">SUM(E808:I808)</f>
        <v>8586294</v>
      </c>
      <c r="L808" s="6"/>
      <c r="M808" s="438">
        <f t="shared" ref="M808" si="502">+(K808-K807)/K807</f>
        <v>1.9769287132879228E-3</v>
      </c>
      <c r="N808" s="29"/>
      <c r="O808" s="29"/>
      <c r="P808" s="29"/>
      <c r="Q808" s="332">
        <f t="shared" ref="Q808" si="503">+K808-K807</f>
        <v>16941</v>
      </c>
      <c r="R808" s="6"/>
      <c r="S808" s="7">
        <f>68918+33665+10941</f>
        <v>113524</v>
      </c>
      <c r="T808" s="6"/>
      <c r="U808" s="243">
        <v>2.402125115017657E-2</v>
      </c>
      <c r="W808">
        <f t="shared" si="467"/>
        <v>798</v>
      </c>
      <c r="Y808" s="56"/>
    </row>
    <row r="809" spans="3:25" x14ac:dyDescent="0.3">
      <c r="C809" s="158">
        <f t="shared" si="244"/>
        <v>44708</v>
      </c>
      <c r="E809" s="241">
        <v>5414434</v>
      </c>
      <c r="F809" s="7"/>
      <c r="G809" s="7">
        <v>2381173</v>
      </c>
      <c r="H809" s="581"/>
      <c r="I809" s="7">
        <v>806467</v>
      </c>
      <c r="J809" s="244"/>
      <c r="K809" s="7">
        <f t="shared" ref="K809" si="504">SUM(E809:I809)</f>
        <v>8602074</v>
      </c>
      <c r="L809" s="6"/>
      <c r="M809" s="438">
        <f t="shared" ref="M809" si="505">+(K809-K808)/K808</f>
        <v>1.8378126814665326E-3</v>
      </c>
      <c r="N809" s="29"/>
      <c r="O809" s="29"/>
      <c r="P809" s="29"/>
      <c r="Q809" s="332">
        <f t="shared" ref="Q809" si="506">+K809-K808</f>
        <v>15780</v>
      </c>
      <c r="R809" s="6"/>
      <c r="S809" s="7">
        <f>68955+33678+10941</f>
        <v>113574</v>
      </c>
      <c r="T809" s="6"/>
      <c r="U809" s="243">
        <v>2.402125115017657E-2</v>
      </c>
      <c r="W809">
        <f t="shared" si="467"/>
        <v>799</v>
      </c>
      <c r="Y809" s="56"/>
    </row>
    <row r="810" spans="3:25" x14ac:dyDescent="0.3">
      <c r="C810" s="158">
        <f t="shared" si="244"/>
        <v>44709</v>
      </c>
      <c r="E810" s="241">
        <v>5414434</v>
      </c>
      <c r="F810" s="7"/>
      <c r="G810" s="7">
        <v>2385951</v>
      </c>
      <c r="H810" s="581"/>
      <c r="I810" s="7">
        <v>806467</v>
      </c>
      <c r="J810" s="244"/>
      <c r="K810" s="7">
        <f t="shared" ref="K810" si="507">SUM(E810:I810)</f>
        <v>8606852</v>
      </c>
      <c r="L810" s="6"/>
      <c r="M810" s="438">
        <f t="shared" ref="M810" si="508">+(K810-K809)/K809</f>
        <v>5.5544744209361598E-4</v>
      </c>
      <c r="N810" s="29"/>
      <c r="O810" s="29"/>
      <c r="P810" s="29"/>
      <c r="Q810" s="332">
        <f t="shared" ref="Q810" si="509">+K810-K809</f>
        <v>4778</v>
      </c>
      <c r="R810" s="6"/>
      <c r="S810" s="7">
        <f>68955+33693+10941</f>
        <v>113589</v>
      </c>
      <c r="T810" s="6"/>
      <c r="U810" s="243">
        <v>2.402125115017657E-2</v>
      </c>
      <c r="W810">
        <f t="shared" si="467"/>
        <v>800</v>
      </c>
      <c r="Y810" s="56"/>
    </row>
    <row r="811" spans="3:25" x14ac:dyDescent="0.3">
      <c r="C811" s="347">
        <f t="shared" si="244"/>
        <v>44710</v>
      </c>
      <c r="E811" s="241">
        <v>5414434</v>
      </c>
      <c r="F811" s="7"/>
      <c r="G811" s="7">
        <v>2385951</v>
      </c>
      <c r="H811" s="581"/>
      <c r="I811" s="7">
        <v>806467</v>
      </c>
      <c r="J811" s="244"/>
      <c r="K811" s="7">
        <f t="shared" ref="K811" si="510">SUM(E811:I811)</f>
        <v>8606852</v>
      </c>
      <c r="L811" s="6"/>
      <c r="M811" s="438">
        <f t="shared" ref="M811" si="511">+(K811-K810)/K810</f>
        <v>0</v>
      </c>
      <c r="N811" s="29"/>
      <c r="O811" s="29"/>
      <c r="P811" s="29"/>
      <c r="Q811" s="332">
        <f t="shared" ref="Q811" si="512">+K811-K810</f>
        <v>0</v>
      </c>
      <c r="R811" s="6"/>
      <c r="S811" s="7">
        <f>68955+33693+10941</f>
        <v>113589</v>
      </c>
      <c r="T811" s="6"/>
      <c r="U811" s="243">
        <v>2.402125115017657E-2</v>
      </c>
      <c r="W811">
        <f t="shared" si="467"/>
        <v>801</v>
      </c>
      <c r="Y811" s="56"/>
    </row>
    <row r="812" spans="3:25" x14ac:dyDescent="0.3">
      <c r="C812" s="158">
        <f t="shared" si="244"/>
        <v>44711</v>
      </c>
      <c r="E812" s="241">
        <v>5414434</v>
      </c>
      <c r="F812" s="7"/>
      <c r="G812" s="7">
        <v>2392171</v>
      </c>
      <c r="H812" s="581"/>
      <c r="I812" s="7">
        <v>806467</v>
      </c>
      <c r="J812" s="244"/>
      <c r="K812" s="7">
        <f t="shared" ref="K812" si="513">SUM(E812:I812)</f>
        <v>8613072</v>
      </c>
      <c r="L812" s="6"/>
      <c r="M812" s="438">
        <f t="shared" ref="M812" si="514">+(K812-K811)/K811</f>
        <v>7.2268002284691312E-4</v>
      </c>
      <c r="N812" s="29"/>
      <c r="O812" s="29"/>
      <c r="P812" s="29"/>
      <c r="Q812" s="332">
        <f t="shared" ref="Q812" si="515">+K812-K811</f>
        <v>6220</v>
      </c>
      <c r="R812" s="6"/>
      <c r="S812" s="7">
        <f>68955+33696+10941</f>
        <v>113592</v>
      </c>
      <c r="T812" s="6"/>
      <c r="U812" s="243">
        <v>2.402125115017657E-2</v>
      </c>
      <c r="W812">
        <f t="shared" si="467"/>
        <v>802</v>
      </c>
      <c r="Y812" s="56"/>
    </row>
    <row r="813" spans="3:25" x14ac:dyDescent="0.3">
      <c r="C813" s="158">
        <f t="shared" si="244"/>
        <v>44712</v>
      </c>
      <c r="E813" s="241">
        <v>5437811</v>
      </c>
      <c r="F813" s="7"/>
      <c r="G813" s="7">
        <v>2394595</v>
      </c>
      <c r="H813" s="581"/>
      <c r="I813" s="7">
        <v>809194</v>
      </c>
      <c r="J813" s="244"/>
      <c r="K813" s="7">
        <f t="shared" ref="K813" si="516">SUM(E813:I813)</f>
        <v>8641600</v>
      </c>
      <c r="L813" s="6"/>
      <c r="M813" s="438">
        <f t="shared" ref="M813" si="517">+(K813-K812)/K812</f>
        <v>3.3121747966346968E-3</v>
      </c>
      <c r="N813" s="29"/>
      <c r="O813" s="29"/>
      <c r="P813" s="29"/>
      <c r="Q813" s="332">
        <f t="shared" ref="Q813" si="518">+K813-K812</f>
        <v>28528</v>
      </c>
      <c r="R813" s="6"/>
      <c r="S813" s="7">
        <f>68989+33702+10941</f>
        <v>113632</v>
      </c>
      <c r="T813" s="6"/>
      <c r="U813" s="243">
        <v>2.402125115017657E-2</v>
      </c>
      <c r="W813">
        <f t="shared" si="467"/>
        <v>803</v>
      </c>
      <c r="Y813" s="56"/>
    </row>
    <row r="814" spans="3:25" x14ac:dyDescent="0.3">
      <c r="C814" s="158">
        <f t="shared" si="244"/>
        <v>44713</v>
      </c>
      <c r="E814" s="241">
        <v>5448449</v>
      </c>
      <c r="F814" s="7"/>
      <c r="G814" s="7">
        <v>2398157</v>
      </c>
      <c r="H814" s="581"/>
      <c r="I814" s="7">
        <v>810190</v>
      </c>
      <c r="J814" s="244"/>
      <c r="K814" s="7">
        <f t="shared" ref="K814" si="519">SUM(E814:I814)</f>
        <v>8656796</v>
      </c>
      <c r="L814" s="6"/>
      <c r="M814" s="438">
        <f t="shared" ref="M814" si="520">+(K814-K813)/K813</f>
        <v>1.7584706535826698E-3</v>
      </c>
      <c r="N814" s="29"/>
      <c r="O814" s="29"/>
      <c r="P814" s="29"/>
      <c r="Q814" s="332">
        <f t="shared" ref="Q814" si="521">+K814-K813</f>
        <v>15196</v>
      </c>
      <c r="R814" s="6"/>
      <c r="S814" s="7">
        <f>69043+33727+10973</f>
        <v>113743</v>
      </c>
      <c r="T814" s="6"/>
      <c r="U814" s="243">
        <v>2.402125115017657E-2</v>
      </c>
      <c r="W814">
        <f t="shared" si="467"/>
        <v>804</v>
      </c>
      <c r="Y814" s="56"/>
    </row>
    <row r="815" spans="3:25" x14ac:dyDescent="0.3">
      <c r="C815" s="158">
        <f t="shared" si="244"/>
        <v>44714</v>
      </c>
      <c r="E815" s="241">
        <v>5454419</v>
      </c>
      <c r="F815" s="7"/>
      <c r="G815" s="7">
        <v>2402892</v>
      </c>
      <c r="H815" s="581"/>
      <c r="I815" s="7">
        <v>810849</v>
      </c>
      <c r="J815" s="244"/>
      <c r="K815" s="7">
        <f t="shared" ref="K815" si="522">SUM(E815:I815)</f>
        <v>8668160</v>
      </c>
      <c r="L815" s="6"/>
      <c r="M815" s="438">
        <f t="shared" ref="M815" si="523">+(K815-K814)/K814</f>
        <v>1.3127258630098249E-3</v>
      </c>
      <c r="N815" s="29"/>
      <c r="O815" s="29"/>
      <c r="P815" s="29"/>
      <c r="Q815" s="332">
        <f t="shared" ref="Q815" si="524">+K815-K814</f>
        <v>11364</v>
      </c>
      <c r="R815" s="6"/>
      <c r="S815" s="7">
        <f>69076+33742+10972</f>
        <v>113790</v>
      </c>
      <c r="T815" s="6"/>
      <c r="U815" s="243">
        <v>2.402125115017657E-2</v>
      </c>
      <c r="W815">
        <f t="shared" si="467"/>
        <v>805</v>
      </c>
      <c r="Y815" s="56"/>
    </row>
    <row r="816" spans="3:25" x14ac:dyDescent="0.3">
      <c r="C816" s="158">
        <f t="shared" si="244"/>
        <v>44715</v>
      </c>
      <c r="E816" s="241">
        <v>5462873</v>
      </c>
      <c r="F816" s="7"/>
      <c r="G816" s="7">
        <v>2407649</v>
      </c>
      <c r="H816" s="581"/>
      <c r="I816" s="7">
        <v>811932</v>
      </c>
      <c r="J816" s="244"/>
      <c r="K816" s="7">
        <f t="shared" ref="K816" si="525">SUM(E816:I816)</f>
        <v>8682454</v>
      </c>
      <c r="L816" s="6"/>
      <c r="M816" s="438">
        <f t="shared" ref="M816" si="526">+(K816-K815)/K815</f>
        <v>1.6490235528647372E-3</v>
      </c>
      <c r="N816" s="29"/>
      <c r="O816" s="29"/>
      <c r="P816" s="29"/>
      <c r="Q816" s="332">
        <f t="shared" ref="Q816" si="527">+K816-K815</f>
        <v>14294</v>
      </c>
      <c r="R816" s="6"/>
      <c r="S816" s="7">
        <f>69105+33755+10973</f>
        <v>113833</v>
      </c>
      <c r="T816" s="6"/>
      <c r="U816" s="243">
        <v>2.402125115017657E-2</v>
      </c>
      <c r="W816">
        <f t="shared" si="467"/>
        <v>806</v>
      </c>
      <c r="Y816" s="56"/>
    </row>
    <row r="817" spans="3:25" x14ac:dyDescent="0.3">
      <c r="C817" s="158">
        <f t="shared" si="244"/>
        <v>44716</v>
      </c>
      <c r="E817" s="241">
        <v>5466873</v>
      </c>
      <c r="F817" s="7"/>
      <c r="G817" s="7">
        <v>2412005</v>
      </c>
      <c r="H817" s="581"/>
      <c r="I817" s="7">
        <v>811932</v>
      </c>
      <c r="J817" s="244"/>
      <c r="K817" s="7">
        <f t="shared" ref="K817" si="528">SUM(E817:I817)</f>
        <v>8690810</v>
      </c>
      <c r="L817" s="6"/>
      <c r="M817" s="438">
        <f t="shared" ref="M817" si="529">+(K817-K816)/K816</f>
        <v>9.6240072219213604E-4</v>
      </c>
      <c r="N817" s="29"/>
      <c r="O817" s="29"/>
      <c r="P817" s="29"/>
      <c r="Q817" s="332">
        <f t="shared" ref="Q817" si="530">+K817-K816</f>
        <v>8356</v>
      </c>
      <c r="R817" s="6"/>
      <c r="S817" s="7">
        <f>69124+33760+10973</f>
        <v>113857</v>
      </c>
      <c r="T817" s="6"/>
      <c r="U817" s="243">
        <v>2.402125115017657E-2</v>
      </c>
      <c r="W817">
        <f t="shared" si="467"/>
        <v>807</v>
      </c>
      <c r="Y817" s="56"/>
    </row>
    <row r="818" spans="3:25" x14ac:dyDescent="0.3">
      <c r="C818" s="347">
        <f t="shared" si="244"/>
        <v>44717</v>
      </c>
      <c r="E818" s="241">
        <v>5466873</v>
      </c>
      <c r="F818" s="7"/>
      <c r="G818" s="7">
        <v>2415000</v>
      </c>
      <c r="H818" s="581"/>
      <c r="I818" s="7">
        <v>811932</v>
      </c>
      <c r="J818" s="244"/>
      <c r="K818" s="7">
        <f t="shared" ref="K818" si="531">SUM(E818:I818)</f>
        <v>8693805</v>
      </c>
      <c r="L818" s="6"/>
      <c r="M818" s="438">
        <f t="shared" ref="M818" si="532">+(K818-K817)/K817</f>
        <v>3.4461689992072085E-4</v>
      </c>
      <c r="N818" s="29"/>
      <c r="O818" s="29"/>
      <c r="P818" s="29"/>
      <c r="Q818" s="332">
        <f t="shared" ref="Q818" si="533">+K818-K817</f>
        <v>2995</v>
      </c>
      <c r="R818" s="6"/>
      <c r="S818" s="7">
        <f>69134+33764+10973</f>
        <v>113871</v>
      </c>
      <c r="T818" s="6"/>
      <c r="U818" s="243">
        <v>2.402125115017657E-2</v>
      </c>
      <c r="W818">
        <f t="shared" si="467"/>
        <v>808</v>
      </c>
      <c r="Y818" s="56"/>
    </row>
    <row r="819" spans="3:25" x14ac:dyDescent="0.3">
      <c r="C819" s="158">
        <f t="shared" si="244"/>
        <v>44718</v>
      </c>
      <c r="E819" s="241">
        <v>5485811</v>
      </c>
      <c r="F819" s="7"/>
      <c r="G819" s="7">
        <v>2421092</v>
      </c>
      <c r="H819" s="581"/>
      <c r="I819" s="7">
        <v>814328</v>
      </c>
      <c r="J819" s="244"/>
      <c r="K819" s="7">
        <f t="shared" ref="K819" si="534">SUM(E819:I819)</f>
        <v>8721231</v>
      </c>
      <c r="L819" s="6"/>
      <c r="M819" s="438">
        <f t="shared" ref="M819" si="535">+(K819-K818)/K818</f>
        <v>3.1546601286778345E-3</v>
      </c>
      <c r="N819" s="29"/>
      <c r="O819" s="29"/>
      <c r="P819" s="29"/>
      <c r="Q819" s="332">
        <f t="shared" ref="Q819" si="536">+K819-K818</f>
        <v>27426</v>
      </c>
      <c r="R819" s="6"/>
      <c r="S819" s="7">
        <f>69190+33792+10998</f>
        <v>113980</v>
      </c>
      <c r="T819" s="6"/>
      <c r="U819" s="243">
        <v>2.402125115017657E-2</v>
      </c>
      <c r="W819">
        <f t="shared" si="467"/>
        <v>809</v>
      </c>
      <c r="Y819" s="56"/>
    </row>
    <row r="820" spans="3:25" x14ac:dyDescent="0.3">
      <c r="C820" s="158">
        <f t="shared" si="244"/>
        <v>44719</v>
      </c>
      <c r="E820" s="241">
        <v>5493166</v>
      </c>
      <c r="F820" s="7"/>
      <c r="G820" s="7">
        <v>2424606</v>
      </c>
      <c r="H820" s="581"/>
      <c r="I820" s="7">
        <v>814985</v>
      </c>
      <c r="J820" s="244"/>
      <c r="K820" s="7">
        <f t="shared" ref="K820" si="537">SUM(E820:I820)</f>
        <v>8732757</v>
      </c>
      <c r="L820" s="6"/>
      <c r="M820" s="438">
        <f t="shared" ref="M820" si="538">+(K820-K819)/K819</f>
        <v>1.3216024205757193E-3</v>
      </c>
      <c r="N820" s="29"/>
      <c r="O820" s="29"/>
      <c r="P820" s="29"/>
      <c r="Q820" s="332">
        <f t="shared" ref="Q820" si="539">+K820-K819</f>
        <v>11526</v>
      </c>
      <c r="R820" s="6"/>
      <c r="S820" s="7">
        <f>69230+33811+11000</f>
        <v>114041</v>
      </c>
      <c r="T820" s="6"/>
      <c r="U820" s="243">
        <v>2.402125115017657E-2</v>
      </c>
      <c r="W820">
        <f t="shared" si="467"/>
        <v>810</v>
      </c>
      <c r="Y820" s="56"/>
    </row>
    <row r="821" spans="3:25" x14ac:dyDescent="0.3">
      <c r="C821" s="158">
        <f t="shared" si="244"/>
        <v>44720</v>
      </c>
      <c r="E821" s="241">
        <v>5493166</v>
      </c>
      <c r="F821" s="7"/>
      <c r="G821" s="7">
        <v>2424606</v>
      </c>
      <c r="H821" s="581"/>
      <c r="I821" s="7">
        <v>814985</v>
      </c>
      <c r="J821" s="244"/>
      <c r="K821" s="7">
        <f t="shared" ref="K821" si="540">SUM(E821:I821)</f>
        <v>8732757</v>
      </c>
      <c r="L821" s="6"/>
      <c r="M821" s="438">
        <f t="shared" ref="M821" si="541">+(K821-K820)/K820</f>
        <v>0</v>
      </c>
      <c r="N821" s="29"/>
      <c r="O821" s="29"/>
      <c r="P821" s="29"/>
      <c r="Q821" s="332">
        <f t="shared" ref="Q821" si="542">+K821-K820</f>
        <v>0</v>
      </c>
      <c r="R821" s="6"/>
      <c r="S821" s="7">
        <f>69230+33811+11000</f>
        <v>114041</v>
      </c>
      <c r="T821" s="6"/>
      <c r="U821" s="243">
        <v>2.402125115017657E-2</v>
      </c>
      <c r="W821">
        <f t="shared" si="467"/>
        <v>811</v>
      </c>
      <c r="Y821" s="56"/>
    </row>
    <row r="822" spans="3:25" x14ac:dyDescent="0.3">
      <c r="C822" s="158">
        <f t="shared" si="244"/>
        <v>44721</v>
      </c>
      <c r="E822" s="241">
        <v>5493166</v>
      </c>
      <c r="F822" s="7"/>
      <c r="G822" s="7">
        <v>2424606</v>
      </c>
      <c r="H822" s="581"/>
      <c r="I822" s="7">
        <v>814985</v>
      </c>
      <c r="J822" s="244"/>
      <c r="K822" s="7">
        <f t="shared" ref="K822:K823" si="543">SUM(E822:I822)</f>
        <v>8732757</v>
      </c>
      <c r="L822" s="6"/>
      <c r="M822" s="438">
        <f t="shared" ref="M822:M823" si="544">+(K822-K821)/K821</f>
        <v>0</v>
      </c>
      <c r="N822" s="29"/>
      <c r="O822" s="29"/>
      <c r="P822" s="29"/>
      <c r="Q822" s="332">
        <f t="shared" ref="Q822:Q823" si="545">+K822-K821</f>
        <v>0</v>
      </c>
      <c r="R822" s="6"/>
      <c r="S822" s="7">
        <f>69230+33811+11000</f>
        <v>114041</v>
      </c>
      <c r="T822" s="6"/>
      <c r="U822" s="243">
        <v>2.402125115017657E-2</v>
      </c>
      <c r="W822">
        <f t="shared" si="467"/>
        <v>812</v>
      </c>
      <c r="Y822" s="56"/>
    </row>
    <row r="823" spans="3:25" x14ac:dyDescent="0.3">
      <c r="C823" s="158">
        <f t="shared" si="244"/>
        <v>44722</v>
      </c>
      <c r="E823" s="241">
        <v>5502958</v>
      </c>
      <c r="F823" s="7"/>
      <c r="G823" s="7">
        <v>2432023</v>
      </c>
      <c r="H823" s="581"/>
      <c r="I823" s="7">
        <v>816356</v>
      </c>
      <c r="J823" s="244"/>
      <c r="K823" s="7">
        <f t="shared" si="543"/>
        <v>8751337</v>
      </c>
      <c r="L823" s="6"/>
      <c r="M823" s="438">
        <f t="shared" si="544"/>
        <v>2.1276213227964546E-3</v>
      </c>
      <c r="N823" s="29"/>
      <c r="O823" s="29"/>
      <c r="P823" s="29"/>
      <c r="Q823" s="332">
        <f t="shared" si="545"/>
        <v>18580</v>
      </c>
      <c r="R823" s="6"/>
      <c r="S823" s="7">
        <f>69263+33831+11000</f>
        <v>114094</v>
      </c>
      <c r="T823" s="6"/>
      <c r="U823" s="243">
        <v>2.402125115017657E-2</v>
      </c>
      <c r="W823">
        <f t="shared" si="467"/>
        <v>813</v>
      </c>
      <c r="Y823" s="56"/>
    </row>
    <row r="824" spans="3:25" x14ac:dyDescent="0.3">
      <c r="C824" s="158">
        <f t="shared" si="244"/>
        <v>44723</v>
      </c>
      <c r="E824" s="241">
        <v>5506484</v>
      </c>
      <c r="F824" s="7"/>
      <c r="G824" s="7">
        <v>2435303</v>
      </c>
      <c r="H824" s="581"/>
      <c r="I824" s="7">
        <v>816356</v>
      </c>
      <c r="J824" s="244"/>
      <c r="K824" s="7">
        <f t="shared" ref="K824" si="546">SUM(E824:I824)</f>
        <v>8758143</v>
      </c>
      <c r="L824" s="6"/>
      <c r="M824" s="438">
        <f t="shared" ref="M824" si="547">+(K824-K823)/K823</f>
        <v>7.777097373806997E-4</v>
      </c>
      <c r="N824" s="29"/>
      <c r="O824" s="29"/>
      <c r="P824" s="29"/>
      <c r="Q824" s="332">
        <f t="shared" ref="Q824" si="548">+K824-K823</f>
        <v>6806</v>
      </c>
      <c r="R824" s="6"/>
      <c r="S824" s="7">
        <f>69272+33851+11000</f>
        <v>114123</v>
      </c>
      <c r="T824" s="6"/>
      <c r="U824" s="243">
        <v>2.402125115017657E-2</v>
      </c>
      <c r="W824">
        <f t="shared" si="467"/>
        <v>814</v>
      </c>
      <c r="Y824" s="56"/>
    </row>
    <row r="825" spans="3:25" x14ac:dyDescent="0.3">
      <c r="C825" s="347">
        <f t="shared" si="244"/>
        <v>44724</v>
      </c>
      <c r="E825" s="241">
        <v>5509507</v>
      </c>
      <c r="F825" s="7"/>
      <c r="G825" s="7">
        <v>2437531</v>
      </c>
      <c r="H825" s="581"/>
      <c r="I825" s="7">
        <v>816356</v>
      </c>
      <c r="J825" s="244"/>
      <c r="K825" s="7">
        <f t="shared" ref="K825" si="549">SUM(E825:I825)</f>
        <v>8763394</v>
      </c>
      <c r="L825" s="6"/>
      <c r="M825" s="438">
        <f t="shared" ref="M825" si="550">+(K825-K824)/K824</f>
        <v>5.9955632147134391E-4</v>
      </c>
      <c r="N825" s="29"/>
      <c r="O825" s="29"/>
      <c r="P825" s="29"/>
      <c r="Q825" s="332">
        <f t="shared" ref="Q825" si="551">+K825-K824</f>
        <v>5251</v>
      </c>
      <c r="R825" s="6"/>
      <c r="S825" s="7">
        <f>69272+33852+11000</f>
        <v>114124</v>
      </c>
      <c r="T825" s="6"/>
      <c r="U825" s="243">
        <v>2.402125115017657E-2</v>
      </c>
      <c r="W825">
        <f t="shared" si="467"/>
        <v>815</v>
      </c>
      <c r="Y825" s="56"/>
    </row>
    <row r="826" spans="3:25" x14ac:dyDescent="0.3">
      <c r="C826" s="158">
        <f t="shared" si="244"/>
        <v>44725</v>
      </c>
      <c r="E826" s="241">
        <v>5520993</v>
      </c>
      <c r="F826" s="7"/>
      <c r="G826" s="7">
        <v>2438510</v>
      </c>
      <c r="H826" s="581"/>
      <c r="I826" s="7">
        <v>817973</v>
      </c>
      <c r="J826" s="244"/>
      <c r="K826" s="7">
        <f t="shared" ref="K826" si="552">SUM(E826:I826)</f>
        <v>8777476</v>
      </c>
      <c r="L826" s="6"/>
      <c r="M826" s="438">
        <f t="shared" ref="M826" si="553">+(K826-K825)/K825</f>
        <v>1.6069116600257846E-3</v>
      </c>
      <c r="N826" s="29"/>
      <c r="O826" s="29"/>
      <c r="P826" s="29"/>
      <c r="Q826" s="332">
        <f t="shared" ref="Q826" si="554">+K826-K825</f>
        <v>14082</v>
      </c>
      <c r="R826" s="6"/>
      <c r="S826" s="7">
        <f>69299+33859+11000</f>
        <v>114158</v>
      </c>
      <c r="T826" s="6"/>
      <c r="U826" s="243">
        <v>2.402125115017657E-2</v>
      </c>
      <c r="W826">
        <f t="shared" si="467"/>
        <v>816</v>
      </c>
      <c r="Y826" s="56"/>
    </row>
    <row r="827" spans="3:25" x14ac:dyDescent="0.3">
      <c r="C827" s="158">
        <f t="shared" si="244"/>
        <v>44726</v>
      </c>
      <c r="E827" s="241">
        <v>5525057</v>
      </c>
      <c r="F827" s="7"/>
      <c r="G827" s="7">
        <v>2441637</v>
      </c>
      <c r="H827" s="581"/>
      <c r="I827" s="7">
        <v>818718</v>
      </c>
      <c r="J827" s="244"/>
      <c r="K827" s="7">
        <f t="shared" ref="K827" si="555">SUM(E827:I827)</f>
        <v>8785412</v>
      </c>
      <c r="L827" s="6"/>
      <c r="M827" s="438">
        <f t="shared" ref="M827" si="556">+(K827-K826)/K826</f>
        <v>9.0413234966407198E-4</v>
      </c>
      <c r="N827" s="29"/>
      <c r="O827" s="29"/>
      <c r="P827" s="29"/>
      <c r="Q827" s="332">
        <f t="shared" ref="Q827" si="557">+K827-K826</f>
        <v>7936</v>
      </c>
      <c r="R827" s="6"/>
      <c r="S827" s="7">
        <f>69355+33879+11015</f>
        <v>114249</v>
      </c>
      <c r="T827" s="6"/>
      <c r="U827" s="243">
        <v>2.402125115017657E-2</v>
      </c>
      <c r="W827">
        <f t="shared" si="467"/>
        <v>817</v>
      </c>
      <c r="Y827" s="56"/>
    </row>
    <row r="828" spans="3:25" x14ac:dyDescent="0.3">
      <c r="C828" s="158">
        <f t="shared" si="244"/>
        <v>44727</v>
      </c>
      <c r="E828" s="241">
        <v>5529833</v>
      </c>
      <c r="F828" s="7"/>
      <c r="G828" s="7">
        <v>2444707</v>
      </c>
      <c r="H828" s="581"/>
      <c r="I828" s="7">
        <v>819531</v>
      </c>
      <c r="J828" s="244"/>
      <c r="K828" s="7">
        <f t="shared" ref="K828" si="558">SUM(E828:I828)</f>
        <v>8794071</v>
      </c>
      <c r="L828" s="6"/>
      <c r="M828" s="438">
        <f t="shared" ref="M828" si="559">+(K828-K827)/K827</f>
        <v>9.856111472063007E-4</v>
      </c>
      <c r="N828" s="29"/>
      <c r="O828" s="29"/>
      <c r="P828" s="29"/>
      <c r="Q828" s="332">
        <f t="shared" ref="Q828" si="560">+K828-K827</f>
        <v>8659</v>
      </c>
      <c r="R828" s="6"/>
      <c r="S828" s="7">
        <f>69387+33896+11015</f>
        <v>114298</v>
      </c>
      <c r="T828" s="6"/>
      <c r="U828" s="243">
        <v>2.402125115017657E-2</v>
      </c>
      <c r="W828">
        <f t="shared" si="467"/>
        <v>818</v>
      </c>
      <c r="Y828" s="56"/>
    </row>
    <row r="829" spans="3:25" x14ac:dyDescent="0.3">
      <c r="C829" s="158">
        <f t="shared" si="244"/>
        <v>44728</v>
      </c>
      <c r="E829" s="241">
        <v>5536023</v>
      </c>
      <c r="F829" s="7"/>
      <c r="G829" s="7">
        <v>2447904</v>
      </c>
      <c r="H829" s="581"/>
      <c r="I829" s="7">
        <v>820026</v>
      </c>
      <c r="J829" s="244"/>
      <c r="K829" s="7">
        <f t="shared" ref="K829" si="561">SUM(E829:I829)</f>
        <v>8803953</v>
      </c>
      <c r="L829" s="6"/>
      <c r="M829" s="438">
        <f t="shared" ref="M829" si="562">+(K829-K828)/K828</f>
        <v>1.1237116461761567E-3</v>
      </c>
      <c r="N829" s="29"/>
      <c r="O829" s="29"/>
      <c r="P829" s="29"/>
      <c r="Q829" s="332">
        <f t="shared" ref="Q829" si="563">+K829-K828</f>
        <v>9882</v>
      </c>
      <c r="R829" s="6"/>
      <c r="S829" s="7">
        <f>69418+33912+11015</f>
        <v>114345</v>
      </c>
      <c r="T829" s="6"/>
      <c r="U829" s="243">
        <v>2.402125115017657E-2</v>
      </c>
      <c r="W829">
        <f t="shared" si="467"/>
        <v>819</v>
      </c>
      <c r="Y829" s="56"/>
    </row>
    <row r="830" spans="3:25" x14ac:dyDescent="0.3">
      <c r="C830" s="158">
        <f t="shared" si="244"/>
        <v>44729</v>
      </c>
      <c r="E830" s="241">
        <v>5541607</v>
      </c>
      <c r="F830" s="7"/>
      <c r="G830" s="7">
        <v>2451377</v>
      </c>
      <c r="H830" s="581"/>
      <c r="I830" s="7">
        <v>820870</v>
      </c>
      <c r="J830" s="244"/>
      <c r="K830" s="7">
        <f t="shared" ref="K830" si="564">SUM(E830:I830)</f>
        <v>8813854</v>
      </c>
      <c r="L830" s="6"/>
      <c r="M830" s="438">
        <f t="shared" ref="M830" si="565">+(K830-K829)/K829</f>
        <v>1.1246084571328357E-3</v>
      </c>
      <c r="N830" s="29"/>
      <c r="O830" s="29"/>
      <c r="P830" s="29"/>
      <c r="Q830" s="332">
        <f t="shared" ref="Q830" si="566">+K830-K829</f>
        <v>9901</v>
      </c>
      <c r="R830" s="6"/>
      <c r="S830" s="7">
        <f>69436+33920+11015</f>
        <v>114371</v>
      </c>
      <c r="T830" s="6"/>
      <c r="U830" s="243">
        <v>2.402125115017657E-2</v>
      </c>
      <c r="W830">
        <f t="shared" si="467"/>
        <v>820</v>
      </c>
      <c r="Y830" s="56"/>
    </row>
    <row r="831" spans="3:25" x14ac:dyDescent="0.3">
      <c r="C831" s="158">
        <f t="shared" si="244"/>
        <v>44730</v>
      </c>
      <c r="E831" s="241">
        <v>5544571</v>
      </c>
      <c r="F831" s="7"/>
      <c r="G831" s="7">
        <v>2453982</v>
      </c>
      <c r="H831" s="581"/>
      <c r="I831" s="7">
        <v>820870</v>
      </c>
      <c r="J831" s="244"/>
      <c r="K831" s="7">
        <f t="shared" ref="K831" si="567">SUM(E831:I831)</f>
        <v>8819423</v>
      </c>
      <c r="L831" s="6"/>
      <c r="M831" s="438">
        <f t="shared" ref="M831" si="568">+(K831-K830)/K830</f>
        <v>6.3184618215822495E-4</v>
      </c>
      <c r="N831" s="29"/>
      <c r="O831" s="29"/>
      <c r="P831" s="29"/>
      <c r="Q831" s="332">
        <f t="shared" ref="Q831" si="569">+K831-K830</f>
        <v>5569</v>
      </c>
      <c r="R831" s="6"/>
      <c r="S831" s="7">
        <f>69436+33926+11015</f>
        <v>114377</v>
      </c>
      <c r="T831" s="6"/>
      <c r="U831" s="243">
        <v>2.402125115017657E-2</v>
      </c>
      <c r="W831">
        <f t="shared" si="467"/>
        <v>821</v>
      </c>
      <c r="Y831" s="56"/>
    </row>
    <row r="832" spans="3:25" x14ac:dyDescent="0.3">
      <c r="C832" s="347">
        <f t="shared" si="244"/>
        <v>44731</v>
      </c>
      <c r="E832" s="241">
        <v>5547045</v>
      </c>
      <c r="F832" s="7"/>
      <c r="G832" s="7">
        <v>2456359</v>
      </c>
      <c r="H832" s="581"/>
      <c r="I832" s="7">
        <v>820870</v>
      </c>
      <c r="J832" s="244"/>
      <c r="K832" s="7">
        <f t="shared" ref="K832" si="570">SUM(E832:I832)</f>
        <v>8824274</v>
      </c>
      <c r="L832" s="6"/>
      <c r="M832" s="438">
        <f t="shared" ref="M832" si="571">+(K832-K831)/K831</f>
        <v>5.5003598307961873E-4</v>
      </c>
      <c r="N832" s="29"/>
      <c r="O832" s="29"/>
      <c r="P832" s="29"/>
      <c r="Q832" s="332">
        <f t="shared" ref="Q832" si="572">+K832-K831</f>
        <v>4851</v>
      </c>
      <c r="R832" s="6"/>
      <c r="S832" s="7">
        <f>69436+33926+11015</f>
        <v>114377</v>
      </c>
      <c r="T832" s="6"/>
      <c r="U832" s="243">
        <v>2.402125115017657E-2</v>
      </c>
      <c r="W832">
        <f t="shared" si="467"/>
        <v>822</v>
      </c>
      <c r="Y832" s="56"/>
    </row>
    <row r="833" spans="3:25" x14ac:dyDescent="0.3">
      <c r="C833" s="158">
        <f t="shared" si="244"/>
        <v>44732</v>
      </c>
      <c r="E833" s="241">
        <v>5549360</v>
      </c>
      <c r="F833" s="7"/>
      <c r="G833" s="7">
        <v>2457797</v>
      </c>
      <c r="H833" s="581"/>
      <c r="I833" s="7">
        <v>822319</v>
      </c>
      <c r="J833" s="244"/>
      <c r="K833" s="7">
        <f t="shared" ref="K833" si="573">SUM(E833:I833)</f>
        <v>8829476</v>
      </c>
      <c r="L833" s="6"/>
      <c r="M833" s="438">
        <f t="shared" ref="M833" si="574">+(K833-K832)/K832</f>
        <v>5.8951025319476703E-4</v>
      </c>
      <c r="N833" s="29"/>
      <c r="O833" s="29"/>
      <c r="P833" s="29"/>
      <c r="Q833" s="332">
        <f t="shared" ref="Q833" si="575">+K833-K832</f>
        <v>5202</v>
      </c>
      <c r="R833" s="6"/>
      <c r="S833" s="7">
        <f>69449+33939+11015</f>
        <v>114403</v>
      </c>
      <c r="T833" s="6"/>
      <c r="U833" s="243">
        <v>2.402125115017657E-2</v>
      </c>
      <c r="W833">
        <f t="shared" si="467"/>
        <v>823</v>
      </c>
      <c r="Y833" s="56"/>
    </row>
    <row r="834" spans="3:25" x14ac:dyDescent="0.3">
      <c r="C834" s="158">
        <f t="shared" si="244"/>
        <v>44733</v>
      </c>
      <c r="E834" s="241">
        <v>5560168</v>
      </c>
      <c r="F834" s="7"/>
      <c r="G834" s="7">
        <v>2460655</v>
      </c>
      <c r="H834" s="581"/>
      <c r="I834" s="7">
        <v>822898</v>
      </c>
      <c r="J834" s="244"/>
      <c r="K834" s="7">
        <f t="shared" ref="K834" si="576">SUM(E834:I834)</f>
        <v>8843721</v>
      </c>
      <c r="L834" s="6"/>
      <c r="M834" s="438">
        <f t="shared" ref="M834" si="577">+(K834-K833)/K833</f>
        <v>1.6133460241581721E-3</v>
      </c>
      <c r="N834" s="29"/>
      <c r="O834" s="29"/>
      <c r="P834" s="29"/>
      <c r="Q834" s="332">
        <f t="shared" ref="Q834" si="578">+K834-K833</f>
        <v>14245</v>
      </c>
      <c r="R834" s="6"/>
      <c r="S834" s="7">
        <f>69458+33949+11032</f>
        <v>114439</v>
      </c>
      <c r="T834" s="6"/>
      <c r="U834" s="243">
        <v>2.402125115017657E-2</v>
      </c>
      <c r="W834">
        <f t="shared" si="467"/>
        <v>824</v>
      </c>
      <c r="Y834" s="56"/>
    </row>
    <row r="835" spans="3:25" x14ac:dyDescent="0.3">
      <c r="C835" s="158">
        <f t="shared" ref="C835:C856" si="579">+C834+1</f>
        <v>44734</v>
      </c>
      <c r="E835" s="241">
        <v>5564394</v>
      </c>
      <c r="F835" s="7"/>
      <c r="G835" s="7">
        <v>2464207</v>
      </c>
      <c r="H835" s="581"/>
      <c r="I835" s="7">
        <v>823625</v>
      </c>
      <c r="J835" s="244"/>
      <c r="K835" s="7">
        <f t="shared" ref="K835" si="580">SUM(E835:I835)</f>
        <v>8852226</v>
      </c>
      <c r="L835" s="6"/>
      <c r="M835" s="438">
        <f t="shared" ref="M835" si="581">+(K835-K834)/K834</f>
        <v>9.6169926663222411E-4</v>
      </c>
      <c r="N835" s="29"/>
      <c r="O835" s="29"/>
      <c r="P835" s="29"/>
      <c r="Q835" s="332">
        <f t="shared" ref="Q835" si="582">+K835-K834</f>
        <v>8505</v>
      </c>
      <c r="R835" s="6"/>
      <c r="S835" s="7">
        <f>69507+33966+11033</f>
        <v>114506</v>
      </c>
      <c r="T835" s="6"/>
      <c r="U835" s="243">
        <v>2.402125115017657E-2</v>
      </c>
      <c r="W835">
        <f t="shared" si="467"/>
        <v>825</v>
      </c>
      <c r="Y835" s="56"/>
    </row>
    <row r="836" spans="3:25" x14ac:dyDescent="0.3">
      <c r="C836" s="158">
        <f t="shared" si="579"/>
        <v>44735</v>
      </c>
      <c r="E836" s="241">
        <v>5570347</v>
      </c>
      <c r="F836" s="7"/>
      <c r="G836" s="7">
        <v>2467432</v>
      </c>
      <c r="H836" s="581"/>
      <c r="I836" s="7">
        <v>824295</v>
      </c>
      <c r="J836" s="244"/>
      <c r="K836" s="7">
        <f t="shared" ref="K836" si="583">SUM(E836:I836)</f>
        <v>8862074</v>
      </c>
      <c r="L836" s="6"/>
      <c r="M836" s="438">
        <f t="shared" ref="M836" si="584">+(K836-K835)/K835</f>
        <v>1.1124885424298927E-3</v>
      </c>
      <c r="N836" s="29"/>
      <c r="O836" s="29"/>
      <c r="P836" s="29"/>
      <c r="Q836" s="332">
        <f t="shared" ref="Q836" si="585">+K836-K835</f>
        <v>9848</v>
      </c>
      <c r="R836" s="6"/>
      <c r="S836" s="7">
        <f>69545+33980+11034</f>
        <v>114559</v>
      </c>
      <c r="T836" s="6"/>
      <c r="U836" s="243">
        <v>2.402125115017657E-2</v>
      </c>
      <c r="W836">
        <f t="shared" si="467"/>
        <v>826</v>
      </c>
      <c r="Y836" s="56"/>
    </row>
    <row r="837" spans="3:25" x14ac:dyDescent="0.3">
      <c r="C837" s="158">
        <f t="shared" si="579"/>
        <v>44736</v>
      </c>
      <c r="E837" s="241">
        <v>5577480</v>
      </c>
      <c r="F837" s="7"/>
      <c r="G837" s="7">
        <v>2470738</v>
      </c>
      <c r="H837" s="581"/>
      <c r="I837" s="7">
        <v>825075</v>
      </c>
      <c r="J837" s="244"/>
      <c r="K837" s="7">
        <f t="shared" ref="K837" si="586">SUM(E837:I837)</f>
        <v>8873293</v>
      </c>
      <c r="L837" s="6"/>
      <c r="M837" s="438">
        <f t="shared" ref="M837" si="587">+(K837-K836)/K836</f>
        <v>1.2659564792620779E-3</v>
      </c>
      <c r="N837" s="29"/>
      <c r="O837" s="29"/>
      <c r="P837" s="29"/>
      <c r="Q837" s="332">
        <f t="shared" ref="Q837" si="588">+K837-K836</f>
        <v>11219</v>
      </c>
      <c r="R837" s="6"/>
      <c r="S837" s="7">
        <f>69563+33994+11034</f>
        <v>114591</v>
      </c>
      <c r="T837" s="6"/>
      <c r="U837" s="243">
        <v>2.402125115017657E-2</v>
      </c>
      <c r="W837">
        <f t="shared" si="467"/>
        <v>827</v>
      </c>
      <c r="Y837" s="56"/>
    </row>
    <row r="838" spans="3:25" x14ac:dyDescent="0.3">
      <c r="C838" s="158">
        <f t="shared" si="579"/>
        <v>44737</v>
      </c>
      <c r="E838" s="241">
        <v>5580555</v>
      </c>
      <c r="F838" s="7"/>
      <c r="G838" s="7">
        <v>2473956</v>
      </c>
      <c r="H838" s="581"/>
      <c r="I838" s="7">
        <v>825075</v>
      </c>
      <c r="J838" s="244"/>
      <c r="K838" s="7">
        <f t="shared" ref="K838" si="589">SUM(E838:I838)</f>
        <v>8879586</v>
      </c>
      <c r="L838" s="6"/>
      <c r="M838" s="438">
        <f t="shared" ref="M838" si="590">+(K838-K837)/K837</f>
        <v>7.0920682997845336E-4</v>
      </c>
      <c r="N838" s="29"/>
      <c r="O838" s="29"/>
      <c r="P838" s="29"/>
      <c r="Q838" s="332">
        <f t="shared" ref="Q838" si="591">+K838-K837</f>
        <v>6293</v>
      </c>
      <c r="R838" s="6"/>
      <c r="S838" s="7">
        <f>69571+34001+11034</f>
        <v>114606</v>
      </c>
      <c r="T838" s="6"/>
      <c r="U838" s="243">
        <v>2.402125115017657E-2</v>
      </c>
      <c r="W838">
        <f t="shared" si="467"/>
        <v>828</v>
      </c>
      <c r="Y838" s="56"/>
    </row>
    <row r="839" spans="3:25" x14ac:dyDescent="0.3">
      <c r="C839" s="347">
        <f t="shared" si="579"/>
        <v>44738</v>
      </c>
      <c r="E839" s="241">
        <v>5583362</v>
      </c>
      <c r="F839" s="7"/>
      <c r="G839" s="7">
        <v>2476558</v>
      </c>
      <c r="H839" s="581"/>
      <c r="I839" s="7">
        <v>825075</v>
      </c>
      <c r="J839" s="244"/>
      <c r="K839" s="7">
        <f t="shared" ref="K839" si="592">SUM(E839:I839)</f>
        <v>8884995</v>
      </c>
      <c r="L839" s="6"/>
      <c r="M839" s="438">
        <f t="shared" ref="M839" si="593">+(K839-K838)/K838</f>
        <v>6.0915002118342007E-4</v>
      </c>
      <c r="N839" s="29"/>
      <c r="O839" s="29"/>
      <c r="P839" s="29"/>
      <c r="Q839" s="332">
        <f t="shared" ref="Q839" si="594">+K839-K838</f>
        <v>5409</v>
      </c>
      <c r="R839" s="6"/>
      <c r="S839" s="7">
        <f>69571+34003+11034</f>
        <v>114608</v>
      </c>
      <c r="T839" s="6"/>
      <c r="U839" s="243">
        <v>2.402125115017657E-2</v>
      </c>
      <c r="W839">
        <f t="shared" si="467"/>
        <v>829</v>
      </c>
      <c r="Y839" s="56"/>
    </row>
    <row r="840" spans="3:25" x14ac:dyDescent="0.3">
      <c r="C840" s="158">
        <f t="shared" si="579"/>
        <v>44739</v>
      </c>
      <c r="E840" s="241">
        <v>5594030</v>
      </c>
      <c r="F840" s="7"/>
      <c r="G840" s="7">
        <v>2478067</v>
      </c>
      <c r="H840" s="581"/>
      <c r="I840" s="7">
        <v>825075</v>
      </c>
      <c r="J840" s="244"/>
      <c r="K840" s="7">
        <f t="shared" ref="K840" si="595">SUM(E840:I840)</f>
        <v>8897172</v>
      </c>
      <c r="L840" s="6"/>
      <c r="M840" s="438">
        <f t="shared" ref="M840" si="596">+(K840-K839)/K839</f>
        <v>1.3705128702942433E-3</v>
      </c>
      <c r="N840" s="29"/>
      <c r="O840" s="29"/>
      <c r="P840" s="29"/>
      <c r="Q840" s="332">
        <f t="shared" ref="Q840" si="597">+K840-K839</f>
        <v>12177</v>
      </c>
      <c r="R840" s="6"/>
      <c r="S840" s="7">
        <f>69576+34007+11034</f>
        <v>114617</v>
      </c>
      <c r="T840" s="6"/>
      <c r="U840" s="243">
        <v>2.402125115017657E-2</v>
      </c>
      <c r="W840">
        <f t="shared" si="467"/>
        <v>830</v>
      </c>
      <c r="Y840" s="56"/>
    </row>
    <row r="841" spans="3:25" x14ac:dyDescent="0.3">
      <c r="C841" s="158">
        <f t="shared" si="579"/>
        <v>44740</v>
      </c>
      <c r="E841" s="241">
        <v>5596149</v>
      </c>
      <c r="F841" s="7"/>
      <c r="G841" s="7">
        <v>2481696</v>
      </c>
      <c r="H841" s="581"/>
      <c r="I841" s="7">
        <v>825075</v>
      </c>
      <c r="J841" s="244"/>
      <c r="K841" s="7">
        <f t="shared" ref="K841" si="598">SUM(E841:I841)</f>
        <v>8902920</v>
      </c>
      <c r="L841" s="6"/>
      <c r="M841" s="438">
        <f t="shared" ref="M841" si="599">+(K841-K840)/K840</f>
        <v>6.460479801896603E-4</v>
      </c>
      <c r="N841" s="29"/>
      <c r="O841" s="29"/>
      <c r="P841" s="29"/>
      <c r="Q841" s="332">
        <f t="shared" ref="Q841" si="600">+K841-K840</f>
        <v>5748</v>
      </c>
      <c r="R841" s="6"/>
      <c r="S841" s="7">
        <f>69621+34023+11034</f>
        <v>114678</v>
      </c>
      <c r="T841" s="6"/>
      <c r="U841" s="243">
        <v>2.402125115017657E-2</v>
      </c>
      <c r="W841">
        <f t="shared" si="467"/>
        <v>831</v>
      </c>
      <c r="Y841" s="56"/>
    </row>
    <row r="842" spans="3:25" x14ac:dyDescent="0.3">
      <c r="C842" s="158">
        <f t="shared" si="579"/>
        <v>44741</v>
      </c>
      <c r="E842" s="241">
        <v>5603772</v>
      </c>
      <c r="F842" s="7"/>
      <c r="G842" s="7">
        <v>2484840</v>
      </c>
      <c r="H842" s="581"/>
      <c r="I842" s="7">
        <v>825075</v>
      </c>
      <c r="J842" s="244"/>
      <c r="K842" s="7">
        <f t="shared" ref="K842" si="601">SUM(E842:I842)</f>
        <v>8913687</v>
      </c>
      <c r="L842" s="6"/>
      <c r="M842" s="438">
        <f t="shared" ref="M842" si="602">+(K842-K841)/K841</f>
        <v>1.2093784960439946E-3</v>
      </c>
      <c r="N842" s="29"/>
      <c r="O842" s="29"/>
      <c r="P842" s="29"/>
      <c r="Q842" s="332">
        <f t="shared" ref="Q842" si="603">+K842-K841</f>
        <v>10767</v>
      </c>
      <c r="R842" s="6"/>
      <c r="S842" s="7">
        <f>69645+34036+11034</f>
        <v>114715</v>
      </c>
      <c r="T842" s="6"/>
      <c r="U842" s="243">
        <v>2.402125115017657E-2</v>
      </c>
      <c r="W842">
        <f t="shared" si="467"/>
        <v>832</v>
      </c>
      <c r="Y842" s="56"/>
    </row>
    <row r="843" spans="3:25" x14ac:dyDescent="0.3">
      <c r="C843" s="158">
        <f t="shared" si="579"/>
        <v>44742</v>
      </c>
      <c r="E843" s="241">
        <v>5611093</v>
      </c>
      <c r="F843" s="7"/>
      <c r="G843" s="7">
        <v>2488751</v>
      </c>
      <c r="H843" s="581"/>
      <c r="I843" s="7">
        <v>825075</v>
      </c>
      <c r="J843" s="244"/>
      <c r="K843" s="7">
        <f t="shared" ref="K843" si="604">SUM(E843:I843)</f>
        <v>8924919</v>
      </c>
      <c r="L843" s="6"/>
      <c r="M843" s="438">
        <f t="shared" ref="M843" si="605">+(K843-K842)/K842</f>
        <v>1.2600846316456926E-3</v>
      </c>
      <c r="N843" s="29"/>
      <c r="O843" s="29"/>
      <c r="P843" s="29"/>
      <c r="Q843" s="332">
        <f t="shared" ref="Q843" si="606">+K843-K842</f>
        <v>11232</v>
      </c>
      <c r="R843" s="6"/>
      <c r="S843" s="7">
        <f>69645+34036+11034</f>
        <v>114715</v>
      </c>
      <c r="T843" s="6"/>
      <c r="U843" s="243">
        <v>2.402125115017657E-2</v>
      </c>
      <c r="W843">
        <f t="shared" si="467"/>
        <v>833</v>
      </c>
      <c r="Y843" s="56"/>
    </row>
    <row r="844" spans="3:25" x14ac:dyDescent="0.3">
      <c r="C844" s="158">
        <f t="shared" si="579"/>
        <v>44743</v>
      </c>
      <c r="E844" s="241">
        <v>5614976</v>
      </c>
      <c r="F844" s="7"/>
      <c r="G844" s="7">
        <v>2492366</v>
      </c>
      <c r="H844" s="581"/>
      <c r="I844" s="7">
        <v>831880</v>
      </c>
      <c r="J844" s="244"/>
      <c r="K844" s="7">
        <f t="shared" ref="K844" si="607">SUM(E844:I844)</f>
        <v>8939222</v>
      </c>
      <c r="L844" s="6"/>
      <c r="M844" s="438">
        <f t="shared" ref="M844" si="608">+(K844-K843)/K843</f>
        <v>1.6025915753409079E-3</v>
      </c>
      <c r="N844" s="29"/>
      <c r="O844" s="29"/>
      <c r="P844" s="29"/>
      <c r="Q844" s="332">
        <f t="shared" ref="Q844" si="609">+K844-K843</f>
        <v>14303</v>
      </c>
      <c r="R844" s="6"/>
      <c r="S844" s="7">
        <f>69690+34057+11045</f>
        <v>114792</v>
      </c>
      <c r="T844" s="6"/>
      <c r="U844" s="243">
        <v>2.402125115017657E-2</v>
      </c>
      <c r="W844">
        <f t="shared" si="467"/>
        <v>834</v>
      </c>
      <c r="Y844" s="56"/>
    </row>
    <row r="845" spans="3:25" x14ac:dyDescent="0.3">
      <c r="C845" s="158">
        <f t="shared" si="579"/>
        <v>44744</v>
      </c>
      <c r="E845" s="241">
        <v>5622208</v>
      </c>
      <c r="F845" s="7"/>
      <c r="G845" s="7">
        <v>2495905</v>
      </c>
      <c r="H845" s="581"/>
      <c r="I845" s="7">
        <v>832572</v>
      </c>
      <c r="J845" s="244"/>
      <c r="K845" s="7">
        <f t="shared" ref="K845" si="610">SUM(E845:I845)</f>
        <v>8950685</v>
      </c>
      <c r="L845" s="6"/>
      <c r="M845" s="438">
        <f t="shared" ref="M845" si="611">+(K845-K844)/K844</f>
        <v>1.282326359050038E-3</v>
      </c>
      <c r="N845" s="29"/>
      <c r="O845" s="29"/>
      <c r="P845" s="29"/>
      <c r="Q845" s="332">
        <f t="shared" ref="Q845" si="612">+K845-K844</f>
        <v>11463</v>
      </c>
      <c r="R845" s="6"/>
      <c r="S845" s="7">
        <f>69698+34064+11045</f>
        <v>114807</v>
      </c>
      <c r="T845" s="6"/>
      <c r="U845" s="243">
        <v>2.402125115017657E-2</v>
      </c>
      <c r="W845">
        <f t="shared" si="467"/>
        <v>835</v>
      </c>
      <c r="Y845" s="56"/>
    </row>
    <row r="846" spans="3:25" x14ac:dyDescent="0.3">
      <c r="C846" s="347">
        <f t="shared" si="579"/>
        <v>44745</v>
      </c>
      <c r="E846" s="241">
        <v>5625004</v>
      </c>
      <c r="F846" s="7"/>
      <c r="G846" s="7">
        <v>2495905</v>
      </c>
      <c r="H846" s="581"/>
      <c r="I846" s="7">
        <v>832913</v>
      </c>
      <c r="J846" s="244"/>
      <c r="K846" s="7">
        <f t="shared" ref="K846" si="613">SUM(E846:I846)</f>
        <v>8953822</v>
      </c>
      <c r="L846" s="6"/>
      <c r="M846" s="438">
        <f t="shared" ref="M846" si="614">+(K846-K845)/K845</f>
        <v>3.504759691576678E-4</v>
      </c>
      <c r="N846" s="29"/>
      <c r="O846" s="29"/>
      <c r="P846" s="29"/>
      <c r="Q846" s="332">
        <f t="shared" ref="Q846" si="615">+K846-K845</f>
        <v>3137</v>
      </c>
      <c r="R846" s="6"/>
      <c r="S846" s="7">
        <f>69698+34064+11045</f>
        <v>114807</v>
      </c>
      <c r="T846" s="6"/>
      <c r="U846" s="243">
        <v>2.402125115017657E-2</v>
      </c>
      <c r="W846">
        <f t="shared" si="467"/>
        <v>836</v>
      </c>
      <c r="Y846" s="56"/>
    </row>
    <row r="847" spans="3:25" x14ac:dyDescent="0.3">
      <c r="C847" s="158">
        <f t="shared" si="579"/>
        <v>44746</v>
      </c>
      <c r="E847" s="241">
        <v>5627346</v>
      </c>
      <c r="F847" s="7"/>
      <c r="G847" s="7">
        <v>2500418</v>
      </c>
      <c r="H847" s="581"/>
      <c r="I847" s="7">
        <v>833260</v>
      </c>
      <c r="J847" s="244"/>
      <c r="K847" s="7">
        <f t="shared" ref="K847" si="616">SUM(E847:I847)</f>
        <v>8961024</v>
      </c>
      <c r="L847" s="6"/>
      <c r="M847" s="438">
        <f t="shared" ref="M847" si="617">+(K847-K846)/K846</f>
        <v>8.0434924884591186E-4</v>
      </c>
      <c r="N847" s="29"/>
      <c r="O847" s="29"/>
      <c r="P847" s="29"/>
      <c r="Q847" s="332">
        <f t="shared" ref="Q847" si="618">+K847-K846</f>
        <v>7202</v>
      </c>
      <c r="R847" s="6"/>
      <c r="S847" s="7">
        <f>69698+34064+11045</f>
        <v>114807</v>
      </c>
      <c r="T847" s="6"/>
      <c r="U847" s="243">
        <v>2.402125115017657E-2</v>
      </c>
      <c r="W847">
        <f t="shared" si="467"/>
        <v>837</v>
      </c>
      <c r="Y847" s="56"/>
    </row>
    <row r="848" spans="3:25" x14ac:dyDescent="0.3">
      <c r="C848" s="158">
        <f t="shared" si="579"/>
        <v>44747</v>
      </c>
      <c r="E848" s="241">
        <v>5639141</v>
      </c>
      <c r="F848" s="7"/>
      <c r="G848" s="7">
        <v>2502617</v>
      </c>
      <c r="H848" s="581"/>
      <c r="I848" s="7">
        <v>833551</v>
      </c>
      <c r="J848" s="244"/>
      <c r="K848" s="7">
        <f t="shared" ref="K848" si="619">SUM(E848:I848)</f>
        <v>8975309</v>
      </c>
      <c r="L848" s="6"/>
      <c r="M848" s="438">
        <f t="shared" ref="M848" si="620">+(K848-K847)/K847</f>
        <v>1.5941258499028682E-3</v>
      </c>
      <c r="N848" s="29"/>
      <c r="O848" s="29"/>
      <c r="P848" s="29"/>
      <c r="Q848" s="332">
        <f t="shared" ref="Q848" si="621">+K848-K847</f>
        <v>14285</v>
      </c>
      <c r="R848" s="6"/>
      <c r="S848" s="7">
        <f>69715+34066+11045</f>
        <v>114826</v>
      </c>
      <c r="T848" s="6"/>
      <c r="U848" s="243">
        <v>2.402125115017657E-2</v>
      </c>
      <c r="W848">
        <f t="shared" si="467"/>
        <v>838</v>
      </c>
      <c r="Y848" s="56"/>
    </row>
    <row r="849" spans="3:25" x14ac:dyDescent="0.3">
      <c r="C849" s="158">
        <f t="shared" si="579"/>
        <v>44748</v>
      </c>
      <c r="E849" s="241">
        <v>5640000</v>
      </c>
      <c r="F849" s="579" t="s">
        <v>26</v>
      </c>
      <c r="G849" s="7">
        <v>2504000</v>
      </c>
      <c r="H849" s="581"/>
      <c r="I849" s="7">
        <v>834000</v>
      </c>
      <c r="J849" s="244"/>
      <c r="K849" s="7">
        <f t="shared" ref="K849" si="622">SUM(E849:I849)</f>
        <v>8978000</v>
      </c>
      <c r="L849" s="6"/>
      <c r="M849" s="438">
        <f t="shared" ref="M849" si="623">+(K849-K848)/K848</f>
        <v>2.9982254649951328E-4</v>
      </c>
      <c r="N849" s="29"/>
      <c r="O849" s="29"/>
      <c r="P849" s="29"/>
      <c r="Q849" s="332">
        <f t="shared" ref="Q849" si="624">+K849-K848</f>
        <v>2691</v>
      </c>
      <c r="R849" s="6"/>
      <c r="S849" s="7">
        <f>69715+34066+11045</f>
        <v>114826</v>
      </c>
      <c r="T849" s="6"/>
      <c r="U849" s="243">
        <v>2.402125115017657E-2</v>
      </c>
      <c r="W849">
        <f t="shared" si="467"/>
        <v>839</v>
      </c>
      <c r="Y849" s="56"/>
    </row>
    <row r="850" spans="3:25" x14ac:dyDescent="0.3">
      <c r="C850" s="158">
        <f t="shared" si="579"/>
        <v>44749</v>
      </c>
      <c r="E850" s="241">
        <v>5646017</v>
      </c>
      <c r="F850" s="7"/>
      <c r="G850" s="7">
        <v>2509617</v>
      </c>
      <c r="H850" s="581"/>
      <c r="I850" s="7">
        <v>835385</v>
      </c>
      <c r="J850" s="244"/>
      <c r="K850" s="7">
        <f t="shared" ref="K850" si="625">SUM(E850:I850)</f>
        <v>8991019</v>
      </c>
      <c r="L850" s="6"/>
      <c r="M850" s="438">
        <f t="shared" ref="M850" si="626">+(K850-K849)/K849</f>
        <v>1.4501002450434395E-3</v>
      </c>
      <c r="N850" s="29"/>
      <c r="O850" s="29"/>
      <c r="P850" s="29"/>
      <c r="Q850" s="332">
        <f t="shared" ref="Q850" si="627">+K850-K849</f>
        <v>13019</v>
      </c>
      <c r="R850" s="6"/>
      <c r="S850" s="7">
        <f>69785+34091+11055</f>
        <v>114931</v>
      </c>
      <c r="T850" s="6"/>
      <c r="U850" s="243">
        <v>2.402125115017657E-2</v>
      </c>
      <c r="W850">
        <f t="shared" si="467"/>
        <v>840</v>
      </c>
      <c r="Y850" s="56"/>
    </row>
    <row r="851" spans="3:25" x14ac:dyDescent="0.3">
      <c r="C851" s="158">
        <f t="shared" si="579"/>
        <v>44750</v>
      </c>
      <c r="E851" s="241">
        <v>5661360</v>
      </c>
      <c r="F851" s="7"/>
      <c r="G851" s="7">
        <v>2514115</v>
      </c>
      <c r="H851" s="581"/>
      <c r="I851" s="7">
        <v>836466</v>
      </c>
      <c r="J851" s="244"/>
      <c r="K851" s="7">
        <f t="shared" ref="K851" si="628">SUM(E851:I851)</f>
        <v>9011941</v>
      </c>
      <c r="L851" s="6"/>
      <c r="M851" s="438">
        <f t="shared" ref="M851" si="629">+(K851-K850)/K850</f>
        <v>2.326988742877754E-3</v>
      </c>
      <c r="N851" s="29"/>
      <c r="O851" s="29"/>
      <c r="P851" s="29"/>
      <c r="Q851" s="332">
        <f t="shared" ref="Q851" si="630">+K851-K850</f>
        <v>20922</v>
      </c>
      <c r="R851" s="6"/>
      <c r="S851" s="7">
        <f>69799+34099+11055</f>
        <v>114953</v>
      </c>
      <c r="T851" s="6"/>
      <c r="U851" s="243">
        <v>2.402125115017657E-2</v>
      </c>
      <c r="W851">
        <f t="shared" si="467"/>
        <v>841</v>
      </c>
      <c r="Y851" s="56"/>
    </row>
    <row r="852" spans="3:25" x14ac:dyDescent="0.3">
      <c r="C852" s="158">
        <f t="shared" si="579"/>
        <v>44751</v>
      </c>
      <c r="E852" s="241">
        <v>5665385</v>
      </c>
      <c r="F852" s="7"/>
      <c r="G852" s="7">
        <v>2517834</v>
      </c>
      <c r="H852" s="581"/>
      <c r="I852" s="7">
        <v>837269</v>
      </c>
      <c r="J852" s="244"/>
      <c r="K852" s="7">
        <f t="shared" ref="K852" si="631">SUM(E852:I852)</f>
        <v>9020488</v>
      </c>
      <c r="L852" s="6"/>
      <c r="M852" s="438">
        <f t="shared" ref="M852" si="632">+(K852-K851)/K851</f>
        <v>9.4840833955748269E-4</v>
      </c>
      <c r="N852" s="29"/>
      <c r="O852" s="29"/>
      <c r="P852" s="29"/>
      <c r="Q852" s="332">
        <f t="shared" ref="Q852" si="633">+K852-K851</f>
        <v>8547</v>
      </c>
      <c r="R852" s="6"/>
      <c r="S852" s="7">
        <f>69799+34107+11055</f>
        <v>114961</v>
      </c>
      <c r="T852" s="6"/>
      <c r="U852" s="243">
        <v>2.402125115017657E-2</v>
      </c>
      <c r="W852">
        <f t="shared" si="467"/>
        <v>842</v>
      </c>
      <c r="Y852" s="56"/>
    </row>
    <row r="853" spans="3:25" x14ac:dyDescent="0.3">
      <c r="C853" s="347">
        <f t="shared" si="579"/>
        <v>44752</v>
      </c>
      <c r="E853" s="241">
        <v>5668645</v>
      </c>
      <c r="F853" s="7"/>
      <c r="G853" s="7">
        <v>2520736</v>
      </c>
      <c r="H853" s="581"/>
      <c r="I853" s="7">
        <v>837751</v>
      </c>
      <c r="J853" s="244"/>
      <c r="K853" s="7">
        <f t="shared" ref="K853" si="634">SUM(E853:I853)</f>
        <v>9027132</v>
      </c>
      <c r="L853" s="6"/>
      <c r="M853" s="438">
        <f t="shared" ref="M853" si="635">+(K853-K852)/K852</f>
        <v>7.3654551727134936E-4</v>
      </c>
      <c r="N853" s="29"/>
      <c r="O853" s="29"/>
      <c r="P853" s="29"/>
      <c r="Q853" s="332">
        <f t="shared" ref="Q853" si="636">+K853-K852</f>
        <v>6644</v>
      </c>
      <c r="R853" s="6"/>
      <c r="S853" s="7">
        <f>69799+34109+11055</f>
        <v>114963</v>
      </c>
      <c r="T853" s="6"/>
      <c r="U853" s="243">
        <v>2.402125115017657E-2</v>
      </c>
      <c r="W853">
        <f t="shared" si="467"/>
        <v>843</v>
      </c>
      <c r="Y853" s="56"/>
    </row>
    <row r="854" spans="3:25" x14ac:dyDescent="0.3">
      <c r="C854" s="158">
        <f t="shared" si="579"/>
        <v>44753</v>
      </c>
      <c r="E854" s="241"/>
      <c r="F854" s="7"/>
      <c r="G854" s="7"/>
      <c r="H854" s="7"/>
      <c r="I854" s="7"/>
      <c r="J854" s="244"/>
      <c r="K854" s="7"/>
      <c r="L854" s="6"/>
      <c r="M854" s="438"/>
      <c r="N854" s="29"/>
      <c r="O854" s="29"/>
      <c r="P854" s="29"/>
      <c r="Q854" s="332"/>
      <c r="R854" s="6"/>
      <c r="S854" s="7"/>
      <c r="T854" s="6"/>
      <c r="U854" s="243"/>
      <c r="Y854" s="56"/>
    </row>
    <row r="855" spans="3:25" x14ac:dyDescent="0.3">
      <c r="C855" s="158">
        <f t="shared" si="579"/>
        <v>44754</v>
      </c>
      <c r="E855" s="241"/>
      <c r="F855" s="7"/>
      <c r="G855" s="7"/>
      <c r="H855" s="7"/>
      <c r="I855" s="7"/>
      <c r="J855" s="244"/>
      <c r="K855" s="7"/>
      <c r="L855" s="6"/>
      <c r="M855" s="438"/>
      <c r="N855" s="29"/>
      <c r="O855" s="29"/>
      <c r="P855" s="29"/>
      <c r="Q855" s="332"/>
      <c r="R855" s="6"/>
      <c r="S855" s="7"/>
      <c r="T855" s="6"/>
      <c r="U855" s="243"/>
      <c r="Y855" s="56"/>
    </row>
    <row r="856" spans="3:25" ht="15" thickBot="1" x14ac:dyDescent="0.35">
      <c r="C856" s="158">
        <f t="shared" si="579"/>
        <v>44755</v>
      </c>
      <c r="E856" s="245"/>
      <c r="F856" s="246"/>
      <c r="G856" s="246"/>
      <c r="H856" s="246"/>
      <c r="I856" s="246"/>
      <c r="J856" s="246"/>
      <c r="K856" s="246"/>
      <c r="L856" s="247"/>
      <c r="M856" s="248"/>
      <c r="N856" s="248"/>
      <c r="O856" s="248"/>
      <c r="P856" s="248"/>
      <c r="Q856" s="331"/>
      <c r="R856" s="247"/>
      <c r="S856" s="247"/>
      <c r="T856" s="247"/>
      <c r="U856" s="249"/>
      <c r="W856">
        <f>+W405+1</f>
        <v>396</v>
      </c>
      <c r="Y856" s="59"/>
    </row>
    <row r="857" spans="3:25" x14ac:dyDescent="0.3">
      <c r="E857" s="56"/>
      <c r="F857" s="1"/>
      <c r="G857" s="56"/>
      <c r="H857" s="56"/>
      <c r="I857" s="56"/>
      <c r="J857" s="1"/>
      <c r="K857" s="56"/>
      <c r="S857" s="56"/>
    </row>
    <row r="858" spans="3:25" x14ac:dyDescent="0.3">
      <c r="C858" s="166" t="s">
        <v>73</v>
      </c>
      <c r="E858" s="56">
        <f>+E853</f>
        <v>5668645</v>
      </c>
      <c r="F858" s="56"/>
      <c r="G858" s="56">
        <f>+G853</f>
        <v>2520736</v>
      </c>
      <c r="H858" s="56">
        <f t="shared" ref="H858" si="637">+H839</f>
        <v>0</v>
      </c>
      <c r="I858" s="56">
        <f t="shared" ref="I858:U858" si="638">+I853</f>
        <v>837751</v>
      </c>
      <c r="J858" s="56">
        <f t="shared" si="638"/>
        <v>0</v>
      </c>
      <c r="K858" s="56">
        <f t="shared" si="638"/>
        <v>9027132</v>
      </c>
      <c r="L858" s="56">
        <f t="shared" si="638"/>
        <v>0</v>
      </c>
      <c r="M858" s="56">
        <f t="shared" si="638"/>
        <v>7.3654551727134936E-4</v>
      </c>
      <c r="N858" s="56">
        <f t="shared" si="638"/>
        <v>0</v>
      </c>
      <c r="O858" s="56"/>
      <c r="P858" s="56">
        <f t="shared" si="638"/>
        <v>0</v>
      </c>
      <c r="Q858" s="56">
        <f t="shared" si="638"/>
        <v>6644</v>
      </c>
      <c r="R858" s="56">
        <f t="shared" si="638"/>
        <v>0</v>
      </c>
      <c r="S858" s="56">
        <f t="shared" si="638"/>
        <v>114963</v>
      </c>
      <c r="T858" s="56">
        <f t="shared" si="638"/>
        <v>0</v>
      </c>
      <c r="U858" s="56">
        <f t="shared" si="638"/>
        <v>2.402125115017657E-2</v>
      </c>
      <c r="V858" s="56">
        <f>+V259</f>
        <v>0</v>
      </c>
    </row>
    <row r="859" spans="3:25" x14ac:dyDescent="0.3">
      <c r="E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</row>
    <row r="860" spans="3:25" x14ac:dyDescent="0.3">
      <c r="E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3:25" x14ac:dyDescent="0.3">
      <c r="C861" s="111"/>
      <c r="D861" s="112"/>
      <c r="E861" s="349"/>
      <c r="F861" s="10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</row>
    <row r="862" spans="3:25" x14ac:dyDescent="0.3">
      <c r="E862" s="56"/>
      <c r="K862" s="56"/>
      <c r="Q862" s="56"/>
    </row>
    <row r="863" spans="3:25" x14ac:dyDescent="0.3">
      <c r="D863" s="549" t="s">
        <v>26</v>
      </c>
      <c r="E863" t="s">
        <v>158</v>
      </c>
      <c r="K863" s="549"/>
      <c r="Q863" s="56"/>
      <c r="S863" s="59"/>
    </row>
    <row r="865" spans="3:41" x14ac:dyDescent="0.3">
      <c r="U865" s="549"/>
    </row>
    <row r="866" spans="3:41" x14ac:dyDescent="0.3">
      <c r="AO866" s="1">
        <v>3797000</v>
      </c>
    </row>
    <row r="867" spans="3:41" x14ac:dyDescent="0.3">
      <c r="C867" s="1"/>
    </row>
    <row r="868" spans="3:41" x14ac:dyDescent="0.3">
      <c r="C868" s="1"/>
      <c r="AO868" s="1">
        <v>30000</v>
      </c>
    </row>
    <row r="869" spans="3:41" x14ac:dyDescent="0.3">
      <c r="C869" s="59"/>
    </row>
    <row r="870" spans="3:41" x14ac:dyDescent="0.3">
      <c r="AO870" s="235">
        <f>+AO868/AO866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847"/>
  <sheetViews>
    <sheetView topLeftCell="A775" workbookViewId="0">
      <selection activeCell="K793" sqref="K793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668" t="s">
        <v>101</v>
      </c>
      <c r="U3" s="669"/>
      <c r="V3" s="669"/>
      <c r="W3" s="669"/>
      <c r="X3" s="669"/>
      <c r="Y3" s="669"/>
      <c r="Z3" s="669"/>
      <c r="AA3" s="669"/>
      <c r="AB3" s="669"/>
      <c r="AC3" s="669"/>
      <c r="AD3" s="670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9.4791076631010971E-3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671" t="s">
        <v>91</v>
      </c>
      <c r="F15" s="671"/>
      <c r="G15" s="671"/>
      <c r="H15" s="671"/>
      <c r="I15" s="671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677" t="s">
        <v>44</v>
      </c>
      <c r="E18" s="678"/>
      <c r="F18" s="678"/>
      <c r="G18" s="678"/>
      <c r="H18" s="678"/>
      <c r="I18" s="678"/>
      <c r="J18" s="678"/>
      <c r="K18" s="678"/>
      <c r="L18" s="678"/>
      <c r="M18" s="678"/>
      <c r="N18" s="678"/>
      <c r="O18" s="679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680" t="s">
        <v>67</v>
      </c>
      <c r="F19" s="680"/>
      <c r="G19" s="680"/>
      <c r="H19" s="680"/>
      <c r="I19" s="134" t="s">
        <v>66</v>
      </c>
      <c r="J19" s="135"/>
      <c r="K19" s="685" t="s">
        <v>64</v>
      </c>
      <c r="L19" s="685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Table'!H840</f>
        <v>76444427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Table'!AA858</f>
        <v>904732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3708</v>
      </c>
      <c r="J22" s="116"/>
      <c r="K22" s="127"/>
      <c r="L22" s="238">
        <v>3755</v>
      </c>
      <c r="M22" s="127"/>
      <c r="N22" s="147">
        <f>+(I22-L22)/I22</f>
        <v>-1.267529665587918E-2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75535987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Table'!AP858</f>
        <v>85789558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681" t="s">
        <v>47</v>
      </c>
      <c r="E25" s="682"/>
      <c r="F25" s="682"/>
      <c r="G25" s="682"/>
      <c r="H25" s="682"/>
      <c r="I25" s="119">
        <f>+I23-I24</f>
        <v>-10253571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85789558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681" t="s">
        <v>44</v>
      </c>
      <c r="E27" s="682"/>
      <c r="F27" s="682"/>
      <c r="G27" s="682"/>
      <c r="H27" s="682"/>
      <c r="I27" s="136">
        <f>+I25+I26</f>
        <v>75535987</v>
      </c>
      <c r="J27" s="116"/>
      <c r="K27" s="686">
        <v>75457502</v>
      </c>
      <c r="L27" s="686"/>
      <c r="M27" s="127"/>
      <c r="N27" s="137">
        <f>+I27-K27</f>
        <v>78485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683" t="s">
        <v>61</v>
      </c>
      <c r="F28" s="683"/>
      <c r="G28" s="683"/>
      <c r="H28" s="124"/>
      <c r="I28" s="232">
        <f>+I27/I32</f>
        <v>0.97879735075213503</v>
      </c>
      <c r="J28" s="127"/>
      <c r="K28" s="127"/>
      <c r="L28" s="127"/>
      <c r="M28" s="98"/>
      <c r="N28" s="463">
        <f>+N27/K27</f>
        <v>1.0401218953683359E-3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692" t="s">
        <v>101</v>
      </c>
      <c r="F31" s="693"/>
      <c r="G31" s="693"/>
      <c r="H31" s="693"/>
      <c r="I31" s="693"/>
      <c r="J31" s="694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87">
        <f>+'Main Table'!H858</f>
        <v>77172243</v>
      </c>
      <c r="J32" s="687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88">
        <f>+I27</f>
        <v>75535987</v>
      </c>
      <c r="J34" s="689"/>
      <c r="K34" s="22"/>
      <c r="L34" s="25">
        <f>+I34/$I$32</f>
        <v>0.97879735075213503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695">
        <f>+I21</f>
        <v>904732</v>
      </c>
      <c r="J35" s="696"/>
      <c r="K35" s="22"/>
      <c r="L35" s="25">
        <f>+I35/$I$32</f>
        <v>1.1723541584763839E-2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684" t="s">
        <v>101</v>
      </c>
      <c r="F36" s="684"/>
      <c r="G36" s="684"/>
      <c r="H36" s="233"/>
      <c r="I36" s="690">
        <f>+I32-I34-I35</f>
        <v>731524</v>
      </c>
      <c r="J36" s="691"/>
      <c r="K36" s="259"/>
      <c r="L36" s="234">
        <f>+I36/$I$32</f>
        <v>9.4791076631010971E-3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672" t="s">
        <v>114</v>
      </c>
      <c r="E41" s="673"/>
      <c r="F41" s="673"/>
      <c r="G41" s="673"/>
      <c r="H41" s="673"/>
      <c r="I41" s="673"/>
      <c r="J41" s="673"/>
      <c r="K41" s="673"/>
      <c r="L41" s="673"/>
      <c r="M41" s="673"/>
      <c r="N41" s="673"/>
      <c r="O41" s="674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675" t="s">
        <v>67</v>
      </c>
      <c r="F42" s="675"/>
      <c r="G42" s="675"/>
      <c r="H42" s="675"/>
      <c r="I42" s="260" t="s">
        <v>66</v>
      </c>
      <c r="J42" s="261"/>
      <c r="K42" s="676" t="s">
        <v>35</v>
      </c>
      <c r="L42" s="676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Table'!AP876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98" t="s">
        <v>47</v>
      </c>
      <c r="E48" s="699"/>
      <c r="F48" s="699"/>
      <c r="G48" s="699"/>
      <c r="H48" s="699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98" t="s">
        <v>44</v>
      </c>
      <c r="E50" s="699"/>
      <c r="F50" s="699"/>
      <c r="G50" s="699"/>
      <c r="H50" s="699"/>
      <c r="I50" s="340">
        <f>+I48+I49</f>
        <v>22172</v>
      </c>
      <c r="J50" s="336"/>
      <c r="K50" s="700">
        <v>30167</v>
      </c>
      <c r="L50" s="700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701" t="s">
        <v>61</v>
      </c>
      <c r="F51" s="701"/>
      <c r="G51" s="701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64" t="s">
        <v>115</v>
      </c>
      <c r="F54" s="665"/>
      <c r="G54" s="665"/>
      <c r="H54" s="665"/>
      <c r="I54" s="665"/>
      <c r="J54" s="666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702">
        <f>+K50</f>
        <v>30167</v>
      </c>
      <c r="J55" s="702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703">
        <f>+I50</f>
        <v>22172</v>
      </c>
      <c r="J57" s="704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705">
        <f>+I44</f>
        <v>1836</v>
      </c>
      <c r="J58" s="706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707" t="s">
        <v>101</v>
      </c>
      <c r="F59" s="707"/>
      <c r="G59" s="707"/>
      <c r="H59" s="267"/>
      <c r="I59" s="667">
        <f>+I55-I57-I58</f>
        <v>6159</v>
      </c>
      <c r="J59" s="708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709">
        <f>+I45</f>
        <v>1397</v>
      </c>
      <c r="J60" s="709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67">
        <f>+I59-I60</f>
        <v>4762</v>
      </c>
      <c r="J61" s="667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64" t="s">
        <v>104</v>
      </c>
      <c r="F64" s="665"/>
      <c r="G64" s="665"/>
      <c r="H64" s="665"/>
      <c r="I64" s="665"/>
      <c r="J64" s="665"/>
      <c r="K64" s="665"/>
      <c r="L64" s="665"/>
      <c r="M64" s="666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97">
        <v>11690000</v>
      </c>
      <c r="J65" s="697"/>
      <c r="K65" s="697"/>
      <c r="L65" s="697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663" t="s">
        <v>95</v>
      </c>
      <c r="G67" s="663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726" t="s">
        <v>118</v>
      </c>
      <c r="E72" s="727"/>
      <c r="F72" s="727"/>
      <c r="G72" s="727"/>
      <c r="H72" s="727"/>
      <c r="I72" s="727"/>
      <c r="J72" s="727"/>
      <c r="K72" s="727"/>
      <c r="L72" s="727"/>
      <c r="M72" s="727"/>
      <c r="N72" s="727"/>
      <c r="O72" s="728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729" t="s">
        <v>67</v>
      </c>
      <c r="F73" s="729"/>
      <c r="G73" s="729"/>
      <c r="H73" s="729"/>
      <c r="I73" s="355" t="s">
        <v>66</v>
      </c>
      <c r="J73" s="356"/>
      <c r="K73" s="730" t="s">
        <v>35</v>
      </c>
      <c r="L73" s="730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Table'!AP917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731" t="s">
        <v>47</v>
      </c>
      <c r="E79" s="732"/>
      <c r="F79" s="732"/>
      <c r="G79" s="732"/>
      <c r="H79" s="732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731" t="s">
        <v>44</v>
      </c>
      <c r="E81" s="732"/>
      <c r="F81" s="732"/>
      <c r="G81" s="732"/>
      <c r="H81" s="732"/>
      <c r="I81" s="370">
        <f>+I79+I80</f>
        <v>36684</v>
      </c>
      <c r="J81" s="363"/>
      <c r="K81" s="734">
        <v>48675</v>
      </c>
      <c r="L81" s="734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733" t="s">
        <v>61</v>
      </c>
      <c r="F82" s="733"/>
      <c r="G82" s="733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9.4791076631010971E-3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9.4791076631010971E-3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9.4791076631010971E-3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9.4791076631010971E-3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73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:AA426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si="22"/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si="22"/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si="22"/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si="22"/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si="22"/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si="22"/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si="22"/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si="22"/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si="22"/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si="22"/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si="22"/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si="22"/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si="22"/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si="22"/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si="22"/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si="22"/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si="22"/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si="22"/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si="22"/>
        <v>8776</v>
      </c>
      <c r="AB414" s="6"/>
      <c r="AC414" s="258"/>
      <c r="AD414" s="251"/>
    </row>
    <row r="415" spans="15:30" x14ac:dyDescent="0.3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si="22"/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si="22"/>
        <v>271</v>
      </c>
      <c r="AB416" s="6"/>
      <c r="AC416" s="258"/>
      <c r="AD416" s="251"/>
    </row>
    <row r="417" spans="15:31" x14ac:dyDescent="0.3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si="22"/>
        <v>-6117</v>
      </c>
      <c r="AB417" s="6"/>
      <c r="AC417" s="258"/>
      <c r="AD417" s="251"/>
    </row>
    <row r="418" spans="15:31" x14ac:dyDescent="0.3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si="22"/>
        <v>-1720</v>
      </c>
      <c r="AB418" s="6"/>
      <c r="AC418" s="258"/>
      <c r="AD418" s="251"/>
    </row>
    <row r="419" spans="15:31" x14ac:dyDescent="0.3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si="22"/>
        <v>-156</v>
      </c>
      <c r="AB419" s="6"/>
      <c r="AC419" s="258"/>
      <c r="AD419" s="251"/>
    </row>
    <row r="420" spans="15:31" x14ac:dyDescent="0.3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si="22"/>
        <v>905</v>
      </c>
      <c r="AB420" s="6"/>
      <c r="AC420" s="258"/>
      <c r="AD420" s="251"/>
    </row>
    <row r="421" spans="15:31" x14ac:dyDescent="0.3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si="22"/>
        <v>9148</v>
      </c>
      <c r="AB421" s="6"/>
      <c r="AC421" s="258"/>
      <c r="AD421" s="251"/>
    </row>
    <row r="422" spans="15:31" x14ac:dyDescent="0.3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si="22"/>
        <v>11758</v>
      </c>
      <c r="AB422" s="6"/>
      <c r="AC422" s="258"/>
      <c r="AD422" s="251"/>
    </row>
    <row r="423" spans="15:31" x14ac:dyDescent="0.3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si="22"/>
        <v>-311</v>
      </c>
      <c r="AB423" s="6"/>
      <c r="AC423" s="258"/>
      <c r="AD423" s="251"/>
    </row>
    <row r="424" spans="15:31" x14ac:dyDescent="0.3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si="22"/>
        <v>-7563</v>
      </c>
      <c r="AB424" s="6"/>
      <c r="AC424" s="258"/>
      <c r="AD424" s="251"/>
    </row>
    <row r="425" spans="15:31" x14ac:dyDescent="0.3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si="22"/>
        <v>-1812</v>
      </c>
      <c r="AB425" s="6"/>
      <c r="AC425" s="258"/>
      <c r="AD425" s="251"/>
    </row>
    <row r="426" spans="15:31" x14ac:dyDescent="0.3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si="22"/>
        <v>-2880</v>
      </c>
      <c r="AB426" s="6"/>
      <c r="AC426" s="258"/>
      <c r="AD426" s="251"/>
    </row>
    <row r="427" spans="15:31" x14ac:dyDescent="0.3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:AA458" si="23">+W426-W427</f>
        <v>12310</v>
      </c>
      <c r="AB427" s="6"/>
      <c r="AC427" s="258"/>
      <c r="AD427" s="251"/>
    </row>
    <row r="428" spans="15:31" x14ac:dyDescent="0.3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si="23"/>
        <v>6803</v>
      </c>
      <c r="AB428" s="6"/>
      <c r="AC428" s="258"/>
      <c r="AD428" s="251"/>
      <c r="AE428" s="61"/>
    </row>
    <row r="429" spans="15:31" x14ac:dyDescent="0.3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si="23"/>
        <v>476</v>
      </c>
      <c r="AB429" s="6"/>
      <c r="AC429" s="258"/>
      <c r="AD429" s="251"/>
      <c r="AE429" s="61"/>
    </row>
    <row r="430" spans="15:31" x14ac:dyDescent="0.3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si="23"/>
        <v>-7563</v>
      </c>
      <c r="AB430" s="6"/>
      <c r="AC430" s="258"/>
      <c r="AD430" s="251"/>
      <c r="AE430" s="61"/>
    </row>
    <row r="431" spans="15:31" x14ac:dyDescent="0.3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si="23"/>
        <v>11199</v>
      </c>
      <c r="AB431" s="6"/>
      <c r="AC431" s="258"/>
      <c r="AD431" s="251"/>
      <c r="AE431" s="61"/>
    </row>
    <row r="432" spans="15:31" x14ac:dyDescent="0.3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si="23"/>
        <v>-884</v>
      </c>
      <c r="AB432" s="6"/>
      <c r="AC432" s="258"/>
      <c r="AD432" s="251"/>
      <c r="AE432" s="61"/>
    </row>
    <row r="433" spans="15:31" x14ac:dyDescent="0.3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si="23"/>
        <v>-1466</v>
      </c>
      <c r="AB433" s="6"/>
      <c r="AC433" s="258"/>
      <c r="AD433" s="251"/>
      <c r="AE433" s="61"/>
    </row>
    <row r="434" spans="15:31" x14ac:dyDescent="0.3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si="23"/>
        <v>-2860</v>
      </c>
      <c r="AB434" s="6"/>
      <c r="AC434" s="258"/>
      <c r="AD434" s="251"/>
      <c r="AE434" s="61"/>
    </row>
    <row r="435" spans="15:31" x14ac:dyDescent="0.3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si="23"/>
        <v>-1324</v>
      </c>
      <c r="AB435" s="6"/>
      <c r="AC435" s="258"/>
      <c r="AD435" s="251"/>
      <c r="AE435" s="61"/>
    </row>
    <row r="436" spans="15:31" x14ac:dyDescent="0.3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si="23"/>
        <v>1557</v>
      </c>
      <c r="AB436" s="6"/>
      <c r="AC436" s="258"/>
      <c r="AD436" s="251"/>
      <c r="AE436" s="61"/>
    </row>
    <row r="437" spans="15:31" x14ac:dyDescent="0.3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si="23"/>
        <v>6817</v>
      </c>
      <c r="AB437" s="6"/>
      <c r="AC437" s="258"/>
      <c r="AD437" s="251"/>
      <c r="AE437" s="61"/>
    </row>
    <row r="438" spans="15:31" x14ac:dyDescent="0.3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si="23"/>
        <v>-155</v>
      </c>
      <c r="AB438" s="6"/>
      <c r="AC438" s="258"/>
      <c r="AD438" s="251"/>
      <c r="AE438" s="61"/>
    </row>
    <row r="439" spans="15:31" x14ac:dyDescent="0.3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si="23"/>
        <v>-2629</v>
      </c>
      <c r="AB439" s="6"/>
      <c r="AC439" s="258"/>
      <c r="AD439" s="251"/>
      <c r="AE439" s="61"/>
    </row>
    <row r="440" spans="15:31" x14ac:dyDescent="0.3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si="23"/>
        <v>-2433</v>
      </c>
      <c r="AB440" s="6"/>
      <c r="AC440" s="258"/>
      <c r="AD440" s="251"/>
      <c r="AE440" s="61"/>
    </row>
    <row r="441" spans="15:31" x14ac:dyDescent="0.3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si="23"/>
        <v>-8925</v>
      </c>
      <c r="AB441" s="6"/>
      <c r="AC441" s="258"/>
      <c r="AD441" s="251"/>
      <c r="AE441" s="61"/>
    </row>
    <row r="442" spans="15:31" x14ac:dyDescent="0.3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si="23"/>
        <v>-6960</v>
      </c>
      <c r="AB442" s="6"/>
      <c r="AC442" s="258"/>
      <c r="AD442" s="251"/>
      <c r="AE442" s="61"/>
    </row>
    <row r="443" spans="15:31" x14ac:dyDescent="0.3">
      <c r="O443" s="98"/>
      <c r="T443" s="250"/>
      <c r="U443" s="573">
        <f t="shared" si="21"/>
        <v>44388</v>
      </c>
      <c r="V443" s="6"/>
      <c r="W443" s="253">
        <v>105672</v>
      </c>
      <c r="X443" s="6"/>
      <c r="Y443" s="44">
        <v>3.0000000000000001E-3</v>
      </c>
      <c r="Z443" s="6"/>
      <c r="AA443" s="254">
        <f t="shared" si="23"/>
        <v>-908</v>
      </c>
      <c r="AB443" s="6"/>
      <c r="AC443" s="258"/>
      <c r="AD443" s="251"/>
      <c r="AE443" s="61"/>
    </row>
    <row r="444" spans="15:31" x14ac:dyDescent="0.3">
      <c r="O444" s="98"/>
      <c r="T444" s="250"/>
      <c r="U444" s="252">
        <f t="shared" si="21"/>
        <v>44389</v>
      </c>
      <c r="V444" s="6"/>
      <c r="W444" s="253">
        <v>125770</v>
      </c>
      <c r="X444" s="6"/>
      <c r="Y444" s="44">
        <v>3.0000000000000001E-3</v>
      </c>
      <c r="Z444" s="6"/>
      <c r="AA444" s="254">
        <f t="shared" si="23"/>
        <v>-20098</v>
      </c>
      <c r="AB444" s="6"/>
      <c r="AC444" s="258"/>
      <c r="AD444" s="251"/>
      <c r="AE444" s="61"/>
    </row>
    <row r="445" spans="15:31" x14ac:dyDescent="0.3">
      <c r="O445" s="98"/>
      <c r="T445" s="250"/>
      <c r="U445" s="252">
        <f t="shared" si="21"/>
        <v>44390</v>
      </c>
      <c r="V445" s="6"/>
      <c r="W445" s="253">
        <v>160392</v>
      </c>
      <c r="X445" s="6"/>
      <c r="Y445" s="44">
        <v>3.0000000000000001E-3</v>
      </c>
      <c r="Z445" s="6"/>
      <c r="AA445" s="254">
        <f t="shared" si="23"/>
        <v>-34622</v>
      </c>
      <c r="AB445" s="6"/>
      <c r="AC445" s="258"/>
      <c r="AD445" s="251"/>
      <c r="AE445" s="61"/>
    </row>
    <row r="446" spans="15:31" x14ac:dyDescent="0.3">
      <c r="O446" s="98"/>
      <c r="T446" s="250"/>
      <c r="U446" s="252">
        <f t="shared" si="21"/>
        <v>44391</v>
      </c>
      <c r="V446" s="6"/>
      <c r="W446" s="253">
        <v>184472</v>
      </c>
      <c r="X446" s="6"/>
      <c r="Y446" s="44">
        <v>3.0000000000000001E-3</v>
      </c>
      <c r="Z446" s="6"/>
      <c r="AA446" s="254">
        <f t="shared" si="23"/>
        <v>-24080</v>
      </c>
      <c r="AB446" s="6"/>
      <c r="AC446" s="258"/>
      <c r="AD446" s="251"/>
      <c r="AE446" s="61"/>
    </row>
    <row r="447" spans="15:31" x14ac:dyDescent="0.3">
      <c r="O447" s="98"/>
      <c r="T447" s="250"/>
      <c r="U447" s="252">
        <f t="shared" si="21"/>
        <v>44392</v>
      </c>
      <c r="V447" s="6"/>
      <c r="W447" s="253">
        <v>204394</v>
      </c>
      <c r="X447" s="6"/>
      <c r="Y447" s="44">
        <v>3.0000000000000001E-3</v>
      </c>
      <c r="Z447" s="6"/>
      <c r="AA447" s="254">
        <f t="shared" si="23"/>
        <v>-19922</v>
      </c>
      <c r="AB447" s="6"/>
      <c r="AC447" s="258"/>
      <c r="AD447" s="251"/>
      <c r="AE447" s="61"/>
    </row>
    <row r="448" spans="15:31" x14ac:dyDescent="0.3">
      <c r="O448" s="98"/>
      <c r="T448" s="250"/>
      <c r="U448" s="252">
        <f t="shared" si="21"/>
        <v>44393</v>
      </c>
      <c r="V448" s="6"/>
      <c r="W448" s="253">
        <v>225690</v>
      </c>
      <c r="X448" s="6"/>
      <c r="Y448" s="44">
        <v>3.0000000000000001E-3</v>
      </c>
      <c r="Z448" s="6"/>
      <c r="AA448" s="254">
        <f t="shared" si="23"/>
        <v>-21296</v>
      </c>
      <c r="AB448" s="6"/>
      <c r="AC448" s="258"/>
      <c r="AD448" s="251"/>
      <c r="AE448" s="61"/>
    </row>
    <row r="449" spans="15:31" x14ac:dyDescent="0.3">
      <c r="O449" s="98"/>
      <c r="T449" s="250"/>
      <c r="U449" s="252">
        <f t="shared" si="21"/>
        <v>44394</v>
      </c>
      <c r="V449" s="6"/>
      <c r="W449" s="253">
        <v>223526</v>
      </c>
      <c r="X449" s="6"/>
      <c r="Y449" s="44">
        <v>3.0000000000000001E-3</v>
      </c>
      <c r="Z449" s="6"/>
      <c r="AA449" s="254">
        <f t="shared" si="23"/>
        <v>2164</v>
      </c>
      <c r="AB449" s="6"/>
      <c r="AC449" s="258"/>
      <c r="AD449" s="251"/>
      <c r="AE449" s="61"/>
    </row>
    <row r="450" spans="15:31" x14ac:dyDescent="0.3">
      <c r="O450" s="98"/>
      <c r="T450" s="250"/>
      <c r="U450" s="573">
        <f t="shared" si="21"/>
        <v>44395</v>
      </c>
      <c r="V450" s="6"/>
      <c r="W450" s="253">
        <v>234744</v>
      </c>
      <c r="X450" s="6"/>
      <c r="Y450" s="44">
        <v>3.0000000000000001E-3</v>
      </c>
      <c r="Z450" s="6"/>
      <c r="AA450" s="254">
        <f t="shared" si="23"/>
        <v>-11218</v>
      </c>
      <c r="AB450" s="6"/>
      <c r="AC450" s="258"/>
      <c r="AD450" s="251"/>
      <c r="AE450" s="61"/>
    </row>
    <row r="451" spans="15:31" x14ac:dyDescent="0.3">
      <c r="O451" s="98"/>
      <c r="T451" s="250"/>
      <c r="U451" s="252">
        <f t="shared" si="21"/>
        <v>44396</v>
      </c>
      <c r="V451" s="6"/>
      <c r="W451" s="253">
        <v>257407</v>
      </c>
      <c r="X451" s="6"/>
      <c r="Y451" s="44">
        <v>3.0000000000000001E-3</v>
      </c>
      <c r="Z451" s="6"/>
      <c r="AA451" s="254">
        <f t="shared" si="23"/>
        <v>-22663</v>
      </c>
      <c r="AB451" s="6"/>
      <c r="AC451" s="258"/>
      <c r="AD451" s="251"/>
      <c r="AE451" s="61"/>
    </row>
    <row r="452" spans="15:31" x14ac:dyDescent="0.3">
      <c r="O452" s="98"/>
      <c r="T452" s="250"/>
      <c r="U452" s="252">
        <f t="shared" si="21"/>
        <v>44397</v>
      </c>
      <c r="V452" s="6"/>
      <c r="W452" s="253">
        <v>281920</v>
      </c>
      <c r="X452" s="6"/>
      <c r="Y452" s="44">
        <v>3.0000000000000001E-3</v>
      </c>
      <c r="Z452" s="6"/>
      <c r="AA452" s="254">
        <f t="shared" si="23"/>
        <v>-24513</v>
      </c>
      <c r="AB452" s="6"/>
      <c r="AC452" s="258"/>
      <c r="AD452" s="251"/>
      <c r="AE452" s="61"/>
    </row>
    <row r="453" spans="15:31" x14ac:dyDescent="0.3">
      <c r="O453" s="98"/>
      <c r="T453" s="250"/>
      <c r="U453" s="252">
        <f t="shared" si="21"/>
        <v>44398</v>
      </c>
      <c r="V453" s="6"/>
      <c r="W453" s="253">
        <v>298822</v>
      </c>
      <c r="X453" s="6"/>
      <c r="Y453" s="44">
        <v>3.0000000000000001E-3</v>
      </c>
      <c r="Z453" s="6"/>
      <c r="AA453" s="254">
        <f t="shared" si="23"/>
        <v>-16902</v>
      </c>
      <c r="AB453" s="6"/>
      <c r="AC453" s="258"/>
      <c r="AD453" s="251"/>
      <c r="AE453" s="61"/>
    </row>
    <row r="454" spans="15:31" x14ac:dyDescent="0.3">
      <c r="O454" s="98"/>
      <c r="T454" s="250"/>
      <c r="U454" s="252">
        <f t="shared" si="21"/>
        <v>44399</v>
      </c>
      <c r="V454" s="6"/>
      <c r="W454" s="253">
        <v>325153</v>
      </c>
      <c r="X454" s="6"/>
      <c r="Y454" s="44">
        <v>3.0000000000000001E-3</v>
      </c>
      <c r="Z454" s="6"/>
      <c r="AA454" s="254">
        <f t="shared" si="23"/>
        <v>-26331</v>
      </c>
      <c r="AB454" s="6"/>
      <c r="AC454" s="258"/>
      <c r="AD454" s="251"/>
      <c r="AE454" s="61"/>
    </row>
    <row r="455" spans="15:31" x14ac:dyDescent="0.3">
      <c r="O455" s="98"/>
      <c r="T455" s="250"/>
      <c r="U455" s="252">
        <f t="shared" si="21"/>
        <v>44400</v>
      </c>
      <c r="V455" s="6"/>
      <c r="W455" s="253">
        <v>356076</v>
      </c>
      <c r="X455" s="6"/>
      <c r="Y455" s="44">
        <v>3.0000000000000001E-3</v>
      </c>
      <c r="Z455" s="6"/>
      <c r="AA455" s="254">
        <f t="shared" si="23"/>
        <v>-30923</v>
      </c>
      <c r="AB455" s="6"/>
      <c r="AC455" s="258"/>
      <c r="AD455" s="251"/>
      <c r="AE455" s="61"/>
    </row>
    <row r="456" spans="15:31" x14ac:dyDescent="0.3">
      <c r="O456" s="98"/>
      <c r="T456" s="250"/>
      <c r="U456" s="252">
        <f t="shared" si="21"/>
        <v>44401</v>
      </c>
      <c r="V456" s="6"/>
      <c r="W456" s="253">
        <v>353378</v>
      </c>
      <c r="X456" s="6"/>
      <c r="Y456" s="44">
        <v>3.0000000000000001E-3</v>
      </c>
      <c r="Z456" s="6"/>
      <c r="AA456" s="254">
        <f t="shared" si="23"/>
        <v>2698</v>
      </c>
      <c r="AB456" s="6"/>
      <c r="AC456" s="258"/>
      <c r="AD456" s="251"/>
      <c r="AE456" s="61"/>
    </row>
    <row r="457" spans="15:31" x14ac:dyDescent="0.3">
      <c r="O457" s="98"/>
      <c r="T457" s="250"/>
      <c r="U457" s="573">
        <f t="shared" si="21"/>
        <v>44402</v>
      </c>
      <c r="V457" s="6"/>
      <c r="W457" s="253">
        <v>343580</v>
      </c>
      <c r="X457" s="6"/>
      <c r="Y457" s="44">
        <v>3.0000000000000001E-3</v>
      </c>
      <c r="Z457" s="6"/>
      <c r="AA457" s="254">
        <f t="shared" si="23"/>
        <v>9798</v>
      </c>
      <c r="AB457" s="6"/>
      <c r="AC457" s="258"/>
      <c r="AD457" s="251"/>
      <c r="AE457" s="61"/>
    </row>
    <row r="458" spans="15:31" x14ac:dyDescent="0.3">
      <c r="O458" s="98"/>
      <c r="T458" s="250"/>
      <c r="U458" s="252">
        <f t="shared" si="21"/>
        <v>44403</v>
      </c>
      <c r="V458" s="6"/>
      <c r="W458" s="253">
        <v>357329</v>
      </c>
      <c r="X458" s="6"/>
      <c r="Y458" s="44">
        <v>3.0000000000000001E-3</v>
      </c>
      <c r="Z458" s="6"/>
      <c r="AA458" s="254">
        <f t="shared" si="23"/>
        <v>-13749</v>
      </c>
      <c r="AB458" s="6"/>
      <c r="AC458" s="258"/>
      <c r="AD458" s="251"/>
      <c r="AE458" s="61"/>
    </row>
    <row r="459" spans="15:31" x14ac:dyDescent="0.3">
      <c r="O459" s="98"/>
      <c r="T459" s="250"/>
      <c r="U459" s="252">
        <f t="shared" si="21"/>
        <v>44404</v>
      </c>
      <c r="V459" s="6"/>
      <c r="W459" s="253">
        <v>386669</v>
      </c>
      <c r="X459" s="6"/>
      <c r="Y459" s="44">
        <v>3.0000000000000001E-3</v>
      </c>
      <c r="Z459" s="6"/>
      <c r="AA459" s="254">
        <f t="shared" ref="AA459:AA490" si="24">+W458-W459</f>
        <v>-29340</v>
      </c>
      <c r="AB459" s="6"/>
      <c r="AC459" s="258"/>
      <c r="AD459" s="251"/>
      <c r="AE459" s="61"/>
    </row>
    <row r="460" spans="15:31" x14ac:dyDescent="0.3">
      <c r="O460" s="98"/>
      <c r="T460" s="250"/>
      <c r="U460" s="252">
        <f t="shared" si="21"/>
        <v>44405</v>
      </c>
      <c r="V460" s="6"/>
      <c r="W460" s="253">
        <v>427240</v>
      </c>
      <c r="X460" s="6"/>
      <c r="Y460" s="44">
        <v>3.0000000000000001E-3</v>
      </c>
      <c r="Z460" s="6"/>
      <c r="AA460" s="254">
        <f t="shared" si="24"/>
        <v>-40571</v>
      </c>
      <c r="AB460" s="6"/>
      <c r="AC460" s="258"/>
      <c r="AD460" s="251"/>
      <c r="AE460" s="61"/>
    </row>
    <row r="461" spans="15:31" x14ac:dyDescent="0.3">
      <c r="O461" s="98"/>
      <c r="T461" s="250"/>
      <c r="U461" s="252">
        <f t="shared" si="21"/>
        <v>44406</v>
      </c>
      <c r="V461" s="6"/>
      <c r="W461" s="253">
        <v>455244</v>
      </c>
      <c r="X461" s="6"/>
      <c r="Y461" s="44">
        <v>3.0000000000000001E-3</v>
      </c>
      <c r="Z461" s="6"/>
      <c r="AA461" s="254">
        <f t="shared" si="24"/>
        <v>-28004</v>
      </c>
      <c r="AB461" s="6"/>
      <c r="AC461" s="258"/>
      <c r="AD461" s="251"/>
      <c r="AE461" s="61"/>
    </row>
    <row r="462" spans="15:31" x14ac:dyDescent="0.3">
      <c r="O462" s="98"/>
      <c r="T462" s="250"/>
      <c r="U462" s="252">
        <f t="shared" si="21"/>
        <v>44407</v>
      </c>
      <c r="V462" s="6"/>
      <c r="W462" s="253">
        <v>497055</v>
      </c>
      <c r="X462" s="6"/>
      <c r="Y462" s="44">
        <v>3.0000000000000001E-3</v>
      </c>
      <c r="Z462" s="6"/>
      <c r="AA462" s="254">
        <f t="shared" si="24"/>
        <v>-41811</v>
      </c>
      <c r="AB462" s="6"/>
      <c r="AC462" s="258"/>
      <c r="AD462" s="251"/>
      <c r="AE462" s="61"/>
    </row>
    <row r="463" spans="15:31" x14ac:dyDescent="0.3">
      <c r="O463" s="98"/>
      <c r="T463" s="250"/>
      <c r="U463" s="252">
        <f t="shared" si="21"/>
        <v>44408</v>
      </c>
      <c r="V463" s="6"/>
      <c r="W463" s="253">
        <v>481553</v>
      </c>
      <c r="X463" s="6"/>
      <c r="Y463" s="44">
        <v>3.0000000000000001E-3</v>
      </c>
      <c r="Z463" s="6"/>
      <c r="AA463" s="254">
        <f t="shared" si="24"/>
        <v>15502</v>
      </c>
      <c r="AB463" s="6"/>
      <c r="AC463" s="258"/>
      <c r="AD463" s="251"/>
      <c r="AE463" s="61"/>
    </row>
    <row r="464" spans="15:31" x14ac:dyDescent="0.3">
      <c r="O464" s="98"/>
      <c r="T464" s="250"/>
      <c r="U464" s="573">
        <f t="shared" si="21"/>
        <v>44409</v>
      </c>
      <c r="V464" s="6"/>
      <c r="W464" s="253">
        <v>466539</v>
      </c>
      <c r="X464" s="6"/>
      <c r="Y464" s="44">
        <v>3.0000000000000001E-3</v>
      </c>
      <c r="Z464" s="6"/>
      <c r="AA464" s="254">
        <f t="shared" si="24"/>
        <v>15014</v>
      </c>
      <c r="AB464" s="6"/>
      <c r="AC464" s="258"/>
      <c r="AD464" s="251"/>
      <c r="AE464" s="61"/>
    </row>
    <row r="465" spans="15:31" x14ac:dyDescent="0.3">
      <c r="O465" s="98"/>
      <c r="T465" s="250"/>
      <c r="U465" s="252">
        <f t="shared" si="21"/>
        <v>44410</v>
      </c>
      <c r="V465" s="6"/>
      <c r="W465" s="253">
        <v>509466</v>
      </c>
      <c r="X465" s="6"/>
      <c r="Y465" s="44">
        <v>3.0000000000000001E-3</v>
      </c>
      <c r="Z465" s="6"/>
      <c r="AA465" s="254">
        <f t="shared" si="24"/>
        <v>-42927</v>
      </c>
      <c r="AB465" s="6"/>
      <c r="AC465" s="258"/>
      <c r="AD465" s="251"/>
      <c r="AE465" s="61"/>
    </row>
    <row r="466" spans="15:31" x14ac:dyDescent="0.3">
      <c r="O466" s="98"/>
      <c r="T466" s="250"/>
      <c r="U466" s="252">
        <f t="shared" si="21"/>
        <v>44411</v>
      </c>
      <c r="V466" s="6"/>
      <c r="W466" s="253">
        <v>578965</v>
      </c>
      <c r="X466" s="6"/>
      <c r="Y466" s="44">
        <v>3.0000000000000001E-3</v>
      </c>
      <c r="Z466" s="6"/>
      <c r="AA466" s="254">
        <f t="shared" si="24"/>
        <v>-69499</v>
      </c>
      <c r="AB466" s="6"/>
      <c r="AC466" s="258"/>
      <c r="AD466" s="251"/>
      <c r="AE466" s="61"/>
    </row>
    <row r="467" spans="15:31" x14ac:dyDescent="0.3">
      <c r="O467" s="98"/>
      <c r="T467" s="250"/>
      <c r="U467" s="252">
        <f t="shared" si="21"/>
        <v>44412</v>
      </c>
      <c r="V467" s="6"/>
      <c r="W467" s="253">
        <v>629922</v>
      </c>
      <c r="X467" s="6"/>
      <c r="Y467" s="44">
        <v>3.0000000000000001E-3</v>
      </c>
      <c r="Z467" s="6"/>
      <c r="AA467" s="254">
        <f t="shared" si="24"/>
        <v>-50957</v>
      </c>
      <c r="AB467" s="6"/>
      <c r="AC467" s="258"/>
      <c r="AD467" s="251"/>
      <c r="AE467" s="61"/>
    </row>
    <row r="468" spans="15:31" x14ac:dyDescent="0.3">
      <c r="O468" s="98"/>
      <c r="T468" s="250"/>
      <c r="U468" s="252">
        <f t="shared" si="21"/>
        <v>44413</v>
      </c>
      <c r="V468" s="6"/>
      <c r="W468" s="253">
        <v>666333</v>
      </c>
      <c r="X468" s="6"/>
      <c r="Y468" s="44">
        <v>3.0000000000000001E-3</v>
      </c>
      <c r="Z468" s="6"/>
      <c r="AA468" s="254">
        <f t="shared" si="24"/>
        <v>-36411</v>
      </c>
      <c r="AB468" s="6"/>
      <c r="AC468" s="258"/>
      <c r="AD468" s="251"/>
      <c r="AE468" s="61"/>
    </row>
    <row r="469" spans="15:31" x14ac:dyDescent="0.3">
      <c r="O469" s="98"/>
      <c r="T469" s="250"/>
      <c r="U469" s="252">
        <f t="shared" si="21"/>
        <v>44414</v>
      </c>
      <c r="V469" s="6"/>
      <c r="W469" s="253">
        <v>712526</v>
      </c>
      <c r="X469" s="6"/>
      <c r="Y469" s="44">
        <v>3.0000000000000001E-3</v>
      </c>
      <c r="Z469" s="6"/>
      <c r="AA469" s="254">
        <f t="shared" si="24"/>
        <v>-46193</v>
      </c>
      <c r="AB469" s="6"/>
      <c r="AC469" s="258"/>
      <c r="AD469" s="251"/>
      <c r="AE469" s="61"/>
    </row>
    <row r="470" spans="15:31" x14ac:dyDescent="0.3">
      <c r="O470" s="98"/>
      <c r="T470" s="250"/>
      <c r="U470" s="252">
        <f t="shared" si="21"/>
        <v>44415</v>
      </c>
      <c r="V470" s="6"/>
      <c r="W470" s="253">
        <v>683397</v>
      </c>
      <c r="X470" s="6"/>
      <c r="Y470" s="44">
        <v>3.0000000000000001E-3</v>
      </c>
      <c r="Z470" s="6"/>
      <c r="AA470" s="254">
        <f t="shared" si="24"/>
        <v>29129</v>
      </c>
      <c r="AB470" s="6"/>
      <c r="AC470" s="258"/>
      <c r="AD470" s="251"/>
      <c r="AE470" s="61"/>
    </row>
    <row r="471" spans="15:31" x14ac:dyDescent="0.3">
      <c r="O471" s="98"/>
      <c r="T471" s="250"/>
      <c r="U471" s="573">
        <f t="shared" si="21"/>
        <v>44416</v>
      </c>
      <c r="V471" s="6"/>
      <c r="W471" s="253">
        <v>655993</v>
      </c>
      <c r="X471" s="6"/>
      <c r="Y471" s="44">
        <v>3.0000000000000001E-3</v>
      </c>
      <c r="Z471" s="6"/>
      <c r="AA471" s="254">
        <f t="shared" si="24"/>
        <v>27404</v>
      </c>
      <c r="AB471" s="6"/>
      <c r="AC471" s="258"/>
      <c r="AD471" s="251"/>
      <c r="AE471" s="61"/>
    </row>
    <row r="472" spans="15:31" x14ac:dyDescent="0.3">
      <c r="O472" s="98"/>
      <c r="T472" s="250"/>
      <c r="U472" s="252">
        <f t="shared" si="21"/>
        <v>44417</v>
      </c>
      <c r="V472" s="6"/>
      <c r="W472" s="253">
        <v>736989</v>
      </c>
      <c r="X472" s="6"/>
      <c r="Y472" s="44">
        <v>3.0000000000000001E-3</v>
      </c>
      <c r="Z472" s="6"/>
      <c r="AA472" s="254">
        <f t="shared" si="24"/>
        <v>-80996</v>
      </c>
      <c r="AB472" s="6"/>
      <c r="AC472" s="258"/>
      <c r="AD472" s="251"/>
      <c r="AE472" s="61"/>
    </row>
    <row r="473" spans="15:31" x14ac:dyDescent="0.3">
      <c r="O473" s="98"/>
      <c r="T473" s="250"/>
      <c r="U473" s="252">
        <f t="shared" si="21"/>
        <v>44418</v>
      </c>
      <c r="V473" s="6"/>
      <c r="W473" s="253">
        <v>782089</v>
      </c>
      <c r="X473" s="6"/>
      <c r="Y473" s="44">
        <v>3.0000000000000001E-3</v>
      </c>
      <c r="Z473" s="6"/>
      <c r="AA473" s="254">
        <f t="shared" si="24"/>
        <v>-45100</v>
      </c>
      <c r="AB473" s="6"/>
      <c r="AC473" s="258"/>
      <c r="AD473" s="251"/>
      <c r="AE473" s="61"/>
    </row>
    <row r="474" spans="15:31" x14ac:dyDescent="0.3">
      <c r="O474" s="98"/>
      <c r="T474" s="250"/>
      <c r="U474" s="252">
        <f t="shared" ref="U474:U583" si="25">+U473+1</f>
        <v>44419</v>
      </c>
      <c r="V474" s="6"/>
      <c r="W474" s="253">
        <v>822521</v>
      </c>
      <c r="X474" s="6"/>
      <c r="Y474" s="44">
        <v>3.0000000000000001E-3</v>
      </c>
      <c r="Z474" s="6"/>
      <c r="AA474" s="254">
        <f t="shared" si="24"/>
        <v>-40432</v>
      </c>
      <c r="AB474" s="6"/>
      <c r="AC474" s="258"/>
      <c r="AD474" s="251"/>
      <c r="AE474" s="61"/>
    </row>
    <row r="475" spans="15:31" x14ac:dyDescent="0.3">
      <c r="O475" s="98"/>
      <c r="T475" s="250"/>
      <c r="U475" s="252">
        <f t="shared" si="25"/>
        <v>44420</v>
      </c>
      <c r="V475" s="6"/>
      <c r="W475" s="253">
        <v>854095</v>
      </c>
      <c r="X475" s="6"/>
      <c r="Y475" s="44">
        <v>3.0000000000000001E-3</v>
      </c>
      <c r="Z475" s="6"/>
      <c r="AA475" s="254">
        <f t="shared" si="24"/>
        <v>-31574</v>
      </c>
      <c r="AB475" s="6"/>
      <c r="AC475" s="258"/>
      <c r="AD475" s="251"/>
      <c r="AE475" s="61"/>
    </row>
    <row r="476" spans="15:31" x14ac:dyDescent="0.3">
      <c r="O476" s="98"/>
      <c r="T476" s="250"/>
      <c r="U476" s="252">
        <f t="shared" si="25"/>
        <v>44421</v>
      </c>
      <c r="V476" s="6"/>
      <c r="W476" s="253">
        <v>888632</v>
      </c>
      <c r="X476" s="6"/>
      <c r="Y476" s="44">
        <v>3.0000000000000001E-3</v>
      </c>
      <c r="Z476" s="6"/>
      <c r="AA476" s="254">
        <f t="shared" si="24"/>
        <v>-34537</v>
      </c>
      <c r="AB476" s="6"/>
      <c r="AC476" s="258"/>
      <c r="AD476" s="251"/>
      <c r="AE476" s="61"/>
    </row>
    <row r="477" spans="15:31" x14ac:dyDescent="0.3">
      <c r="O477" s="98"/>
      <c r="T477" s="250"/>
      <c r="U477" s="252">
        <f t="shared" si="25"/>
        <v>44422</v>
      </c>
      <c r="V477" s="6"/>
      <c r="W477" s="253">
        <v>831634</v>
      </c>
      <c r="X477" s="6"/>
      <c r="Y477" s="44">
        <v>3.0000000000000001E-3</v>
      </c>
      <c r="Z477" s="6"/>
      <c r="AA477" s="254">
        <f t="shared" si="24"/>
        <v>56998</v>
      </c>
      <c r="AB477" s="6"/>
      <c r="AC477" s="258"/>
      <c r="AD477" s="251"/>
      <c r="AE477" s="61"/>
    </row>
    <row r="478" spans="15:31" x14ac:dyDescent="0.3">
      <c r="O478" s="98"/>
      <c r="T478" s="250"/>
      <c r="U478" s="573">
        <f t="shared" si="25"/>
        <v>44423</v>
      </c>
      <c r="V478" s="6"/>
      <c r="W478" s="253">
        <v>793550</v>
      </c>
      <c r="X478" s="6"/>
      <c r="Y478" s="44">
        <v>3.0000000000000001E-3</v>
      </c>
      <c r="Z478" s="6"/>
      <c r="AA478" s="254">
        <f t="shared" si="24"/>
        <v>38084</v>
      </c>
      <c r="AB478" s="6"/>
      <c r="AC478" s="258"/>
      <c r="AD478" s="251"/>
      <c r="AE478" s="61"/>
    </row>
    <row r="479" spans="15:31" x14ac:dyDescent="0.3">
      <c r="O479" s="98"/>
      <c r="T479" s="250"/>
      <c r="U479" s="252">
        <f t="shared" si="25"/>
        <v>44424</v>
      </c>
      <c r="V479" s="6"/>
      <c r="W479" s="253">
        <v>873278</v>
      </c>
      <c r="X479" s="6"/>
      <c r="Y479" s="44">
        <v>3.0000000000000001E-3</v>
      </c>
      <c r="Z479" s="6"/>
      <c r="AA479" s="254">
        <f t="shared" si="24"/>
        <v>-79728</v>
      </c>
      <c r="AB479" s="6"/>
      <c r="AC479" s="258"/>
      <c r="AD479" s="251"/>
      <c r="AE479" s="61"/>
    </row>
    <row r="480" spans="15:31" x14ac:dyDescent="0.3">
      <c r="O480" s="98"/>
      <c r="T480" s="250"/>
      <c r="U480" s="252">
        <f t="shared" si="25"/>
        <v>44425</v>
      </c>
      <c r="V480" s="6"/>
      <c r="W480" s="253">
        <v>915594</v>
      </c>
      <c r="X480" s="6"/>
      <c r="Y480" s="44">
        <v>3.0000000000000001E-3</v>
      </c>
      <c r="Z480" s="6"/>
      <c r="AA480" s="254">
        <f t="shared" si="24"/>
        <v>-42316</v>
      </c>
      <c r="AB480" s="6"/>
      <c r="AC480" s="258"/>
      <c r="AD480" s="251"/>
      <c r="AE480" s="61"/>
    </row>
    <row r="481" spans="15:31" x14ac:dyDescent="0.3">
      <c r="O481" s="98"/>
      <c r="T481" s="250"/>
      <c r="U481" s="252">
        <f t="shared" si="25"/>
        <v>44426</v>
      </c>
      <c r="V481" s="6"/>
      <c r="W481" s="253">
        <v>972739</v>
      </c>
      <c r="X481" s="6"/>
      <c r="Y481" s="44">
        <v>3.0000000000000001E-3</v>
      </c>
      <c r="Z481" s="6"/>
      <c r="AA481" s="254">
        <f t="shared" si="24"/>
        <v>-57145</v>
      </c>
      <c r="AB481" s="6"/>
      <c r="AC481" s="258"/>
      <c r="AD481" s="251"/>
      <c r="AE481" s="61"/>
    </row>
    <row r="482" spans="15:31" x14ac:dyDescent="0.3">
      <c r="O482" s="98"/>
      <c r="T482" s="250"/>
      <c r="U482" s="252">
        <f t="shared" si="25"/>
        <v>44427</v>
      </c>
      <c r="V482" s="6"/>
      <c r="W482" s="253">
        <v>983218</v>
      </c>
      <c r="X482" s="6"/>
      <c r="Y482" s="44">
        <v>3.0000000000000001E-3</v>
      </c>
      <c r="Z482" s="6"/>
      <c r="AA482" s="254">
        <f t="shared" si="24"/>
        <v>-10479</v>
      </c>
      <c r="AB482" s="6"/>
      <c r="AC482" s="258"/>
      <c r="AD482" s="251"/>
      <c r="AE482" s="61"/>
    </row>
    <row r="483" spans="15:31" x14ac:dyDescent="0.3">
      <c r="O483" s="98"/>
      <c r="T483" s="250"/>
      <c r="U483" s="252">
        <f t="shared" si="25"/>
        <v>44428</v>
      </c>
      <c r="V483" s="6"/>
      <c r="W483" s="253">
        <v>991027</v>
      </c>
      <c r="X483" s="6"/>
      <c r="Y483" s="44">
        <v>3.0000000000000001E-3</v>
      </c>
      <c r="Z483" s="6"/>
      <c r="AA483" s="254">
        <f t="shared" si="24"/>
        <v>-7809</v>
      </c>
      <c r="AB483" s="6"/>
      <c r="AC483" s="258"/>
      <c r="AD483" s="251"/>
      <c r="AE483" s="61"/>
    </row>
    <row r="484" spans="15:31" x14ac:dyDescent="0.3">
      <c r="O484" s="98"/>
      <c r="T484" s="250"/>
      <c r="U484" s="252">
        <f t="shared" si="25"/>
        <v>44429</v>
      </c>
      <c r="V484" s="6"/>
      <c r="W484" s="253">
        <v>982569</v>
      </c>
      <c r="X484" s="6"/>
      <c r="Y484" s="44">
        <v>3.0000000000000001E-3</v>
      </c>
      <c r="Z484" s="6"/>
      <c r="AA484" s="254">
        <f t="shared" si="24"/>
        <v>8458</v>
      </c>
      <c r="AB484" s="6"/>
      <c r="AC484" s="258"/>
      <c r="AD484" s="251"/>
      <c r="AE484" s="61"/>
    </row>
    <row r="485" spans="15:31" x14ac:dyDescent="0.3">
      <c r="O485" s="98"/>
      <c r="T485" s="250"/>
      <c r="U485" s="573">
        <f t="shared" si="25"/>
        <v>44430</v>
      </c>
      <c r="V485" s="6"/>
      <c r="W485" s="253">
        <v>1010611</v>
      </c>
      <c r="X485" s="6"/>
      <c r="Y485" s="44">
        <v>3.0000000000000001E-3</v>
      </c>
      <c r="Z485" s="6"/>
      <c r="AA485" s="254">
        <f t="shared" si="24"/>
        <v>-28042</v>
      </c>
      <c r="AB485" s="6"/>
      <c r="AC485" s="258"/>
      <c r="AD485" s="251"/>
      <c r="AE485" s="61"/>
    </row>
    <row r="486" spans="15:31" x14ac:dyDescent="0.3">
      <c r="O486" s="98"/>
      <c r="T486" s="250"/>
      <c r="U486" s="252">
        <f t="shared" si="25"/>
        <v>44431</v>
      </c>
      <c r="V486" s="6"/>
      <c r="W486" s="253">
        <v>1091203</v>
      </c>
      <c r="X486" s="6"/>
      <c r="Y486" s="44">
        <v>3.0000000000000001E-3</v>
      </c>
      <c r="Z486" s="6"/>
      <c r="AA486" s="254">
        <f t="shared" si="24"/>
        <v>-80592</v>
      </c>
      <c r="AB486" s="6"/>
      <c r="AC486" s="258"/>
      <c r="AD486" s="251"/>
      <c r="AE486" s="61"/>
    </row>
    <row r="487" spans="15:31" x14ac:dyDescent="0.3">
      <c r="O487" s="98"/>
      <c r="T487" s="250"/>
      <c r="U487" s="252">
        <f t="shared" si="25"/>
        <v>44432</v>
      </c>
      <c r="V487" s="6"/>
      <c r="W487" s="253">
        <v>1135866</v>
      </c>
      <c r="X487" s="6"/>
      <c r="Y487" s="44">
        <v>3.0000000000000001E-3</v>
      </c>
      <c r="Z487" s="6"/>
      <c r="AA487" s="254">
        <f t="shared" si="24"/>
        <v>-44663</v>
      </c>
      <c r="AB487" s="6"/>
      <c r="AC487" s="258"/>
      <c r="AD487" s="251"/>
      <c r="AE487" s="61"/>
    </row>
    <row r="488" spans="15:31" x14ac:dyDescent="0.3">
      <c r="O488" s="98"/>
      <c r="T488" s="250"/>
      <c r="U488" s="252">
        <f t="shared" si="25"/>
        <v>44433</v>
      </c>
      <c r="V488" s="6"/>
      <c r="W488" s="253">
        <v>1163572</v>
      </c>
      <c r="X488" s="6"/>
      <c r="Y488" s="44">
        <v>3.0000000000000001E-3</v>
      </c>
      <c r="Z488" s="6"/>
      <c r="AA488" s="254">
        <f t="shared" si="24"/>
        <v>-27706</v>
      </c>
      <c r="AB488" s="6"/>
      <c r="AC488" s="258"/>
      <c r="AD488" s="251"/>
      <c r="AE488" s="61"/>
    </row>
    <row r="489" spans="15:31" x14ac:dyDescent="0.3">
      <c r="O489" s="98"/>
      <c r="T489" s="250"/>
      <c r="U489" s="252">
        <f t="shared" si="25"/>
        <v>44434</v>
      </c>
      <c r="V489" s="6"/>
      <c r="W489" s="253">
        <v>1182651</v>
      </c>
      <c r="X489" s="6"/>
      <c r="Y489" s="44">
        <v>3.0000000000000001E-3</v>
      </c>
      <c r="Z489" s="6"/>
      <c r="AA489" s="254">
        <f t="shared" si="24"/>
        <v>-19079</v>
      </c>
      <c r="AB489" s="6"/>
      <c r="AC489" s="258"/>
      <c r="AD489" s="251"/>
      <c r="AE489" s="61"/>
    </row>
    <row r="490" spans="15:31" x14ac:dyDescent="0.3">
      <c r="O490" s="98"/>
      <c r="T490" s="250"/>
      <c r="U490" s="252">
        <f t="shared" si="25"/>
        <v>44435</v>
      </c>
      <c r="V490" s="6"/>
      <c r="W490" s="253">
        <v>1220266</v>
      </c>
      <c r="X490" s="6"/>
      <c r="Y490" s="44">
        <v>3.0000000000000001E-3</v>
      </c>
      <c r="Z490" s="6"/>
      <c r="AA490" s="254">
        <f t="shared" si="24"/>
        <v>-37615</v>
      </c>
      <c r="AB490" s="6"/>
      <c r="AC490" s="258"/>
      <c r="AD490" s="251"/>
      <c r="AE490" s="61"/>
    </row>
    <row r="491" spans="15:31" x14ac:dyDescent="0.3">
      <c r="O491" s="98"/>
      <c r="T491" s="250"/>
      <c r="U491" s="252">
        <f t="shared" si="25"/>
        <v>44436</v>
      </c>
      <c r="V491" s="6"/>
      <c r="W491" s="253">
        <v>1141943</v>
      </c>
      <c r="X491" s="6"/>
      <c r="Y491" s="44">
        <v>3.0000000000000001E-3</v>
      </c>
      <c r="Z491" s="6"/>
      <c r="AA491" s="254">
        <f t="shared" ref="AA491:AA506" si="26">+W490-W491</f>
        <v>78323</v>
      </c>
      <c r="AB491" s="6"/>
      <c r="AC491" s="258"/>
      <c r="AD491" s="251"/>
      <c r="AE491" s="61"/>
    </row>
    <row r="492" spans="15:31" x14ac:dyDescent="0.3">
      <c r="O492" s="98"/>
      <c r="T492" s="250"/>
      <c r="U492" s="573">
        <f t="shared" si="25"/>
        <v>44437</v>
      </c>
      <c r="V492" s="6"/>
      <c r="W492" s="253">
        <v>1032748</v>
      </c>
      <c r="X492" s="6"/>
      <c r="Y492" s="44">
        <v>3.0000000000000001E-3</v>
      </c>
      <c r="Z492" s="6"/>
      <c r="AA492" s="254">
        <f t="shared" si="26"/>
        <v>109195</v>
      </c>
      <c r="AB492" s="6"/>
      <c r="AC492" s="258"/>
      <c r="AD492" s="251"/>
      <c r="AE492" s="61"/>
    </row>
    <row r="493" spans="15:31" x14ac:dyDescent="0.3">
      <c r="O493" s="98"/>
      <c r="T493" s="250"/>
      <c r="U493" s="252">
        <f t="shared" si="25"/>
        <v>44438</v>
      </c>
      <c r="V493" s="6"/>
      <c r="W493" s="253">
        <v>1053270</v>
      </c>
      <c r="X493" s="6"/>
      <c r="Y493" s="44">
        <v>3.0000000000000001E-3</v>
      </c>
      <c r="Z493" s="6"/>
      <c r="AA493" s="254">
        <f t="shared" si="26"/>
        <v>-20522</v>
      </c>
      <c r="AB493" s="6"/>
      <c r="AC493" s="258"/>
      <c r="AD493" s="251"/>
      <c r="AE493" s="61"/>
    </row>
    <row r="494" spans="15:31" x14ac:dyDescent="0.3">
      <c r="O494" s="98"/>
      <c r="T494" s="250"/>
      <c r="U494" s="252">
        <f t="shared" si="25"/>
        <v>44439</v>
      </c>
      <c r="V494" s="6"/>
      <c r="W494" s="253">
        <v>1100973</v>
      </c>
      <c r="X494" s="6"/>
      <c r="Y494" s="44">
        <v>3.0000000000000001E-3</v>
      </c>
      <c r="Z494" s="6"/>
      <c r="AA494" s="254">
        <f t="shared" si="26"/>
        <v>-47703</v>
      </c>
      <c r="AB494" s="6"/>
      <c r="AC494" s="258"/>
      <c r="AD494" s="251"/>
      <c r="AE494" s="61"/>
    </row>
    <row r="495" spans="15:31" x14ac:dyDescent="0.3">
      <c r="O495" s="98"/>
      <c r="T495" s="250"/>
      <c r="U495" s="252">
        <f t="shared" si="25"/>
        <v>44440</v>
      </c>
      <c r="V495" s="6"/>
      <c r="W495" s="253">
        <v>1137686</v>
      </c>
      <c r="X495" s="6"/>
      <c r="Y495" s="44">
        <v>3.0000000000000001E-3</v>
      </c>
      <c r="Z495" s="6"/>
      <c r="AA495" s="254">
        <f t="shared" si="26"/>
        <v>-36713</v>
      </c>
      <c r="AB495" s="6"/>
      <c r="AC495" s="258"/>
      <c r="AD495" s="251"/>
      <c r="AE495" s="61"/>
    </row>
    <row r="496" spans="15:31" x14ac:dyDescent="0.3">
      <c r="O496" s="98"/>
      <c r="T496" s="250"/>
      <c r="U496" s="252">
        <f t="shared" si="25"/>
        <v>44441</v>
      </c>
      <c r="V496" s="6"/>
      <c r="W496" s="253">
        <v>1143565</v>
      </c>
      <c r="X496" s="6"/>
      <c r="Y496" s="44">
        <v>3.0000000000000001E-3</v>
      </c>
      <c r="Z496" s="6"/>
      <c r="AA496" s="254">
        <f t="shared" si="26"/>
        <v>-5879</v>
      </c>
      <c r="AB496" s="6"/>
      <c r="AC496" s="258"/>
      <c r="AD496" s="251"/>
      <c r="AE496" s="61"/>
    </row>
    <row r="497" spans="15:31" x14ac:dyDescent="0.3">
      <c r="O497" s="98"/>
      <c r="T497" s="250"/>
      <c r="U497" s="252">
        <f t="shared" si="25"/>
        <v>44442</v>
      </c>
      <c r="V497" s="6"/>
      <c r="W497" s="253">
        <v>1149058</v>
      </c>
      <c r="X497" s="6"/>
      <c r="Y497" s="44">
        <v>3.0000000000000001E-3</v>
      </c>
      <c r="Z497" s="6"/>
      <c r="AA497" s="254">
        <f t="shared" si="26"/>
        <v>-5493</v>
      </c>
      <c r="AB497" s="6"/>
      <c r="AC497" s="258"/>
      <c r="AD497" s="251"/>
      <c r="AE497" s="61"/>
    </row>
    <row r="498" spans="15:31" x14ac:dyDescent="0.3">
      <c r="O498" s="98"/>
      <c r="T498" s="250"/>
      <c r="U498" s="252">
        <f t="shared" si="25"/>
        <v>44443</v>
      </c>
      <c r="V498" s="6"/>
      <c r="W498" s="253">
        <v>1017444</v>
      </c>
      <c r="X498" s="6"/>
      <c r="Y498" s="44">
        <v>3.0000000000000001E-3</v>
      </c>
      <c r="Z498" s="6"/>
      <c r="AA498" s="254">
        <f t="shared" si="26"/>
        <v>131614</v>
      </c>
      <c r="AB498" s="6"/>
      <c r="AC498" s="258"/>
      <c r="AD498" s="251"/>
      <c r="AE498" s="61"/>
    </row>
    <row r="499" spans="15:31" x14ac:dyDescent="0.3">
      <c r="O499" s="98"/>
      <c r="T499" s="250"/>
      <c r="U499" s="573">
        <f t="shared" si="25"/>
        <v>44444</v>
      </c>
      <c r="V499" s="6"/>
      <c r="W499" s="253">
        <v>944663</v>
      </c>
      <c r="X499" s="6"/>
      <c r="Y499" s="44">
        <v>3.0000000000000001E-3</v>
      </c>
      <c r="Z499" s="6"/>
      <c r="AA499" s="254">
        <f t="shared" si="26"/>
        <v>72781</v>
      </c>
      <c r="AB499" s="6"/>
      <c r="AC499" s="258"/>
      <c r="AD499" s="251"/>
      <c r="AE499" s="61"/>
    </row>
    <row r="500" spans="15:31" x14ac:dyDescent="0.3">
      <c r="O500" s="98"/>
      <c r="T500" s="250"/>
      <c r="U500" s="252">
        <f t="shared" si="25"/>
        <v>44445</v>
      </c>
      <c r="V500" s="6"/>
      <c r="W500" s="253">
        <v>982467</v>
      </c>
      <c r="X500" s="6"/>
      <c r="Y500" s="44">
        <v>3.0000000000000001E-3</v>
      </c>
      <c r="Z500" s="6"/>
      <c r="AA500" s="254">
        <f t="shared" si="26"/>
        <v>-37804</v>
      </c>
      <c r="AB500" s="6"/>
      <c r="AC500" s="258"/>
      <c r="AD500" s="251"/>
      <c r="AE500" s="61"/>
    </row>
    <row r="501" spans="15:31" x14ac:dyDescent="0.3">
      <c r="O501" s="98"/>
      <c r="T501" s="250"/>
      <c r="U501" s="252">
        <f t="shared" si="25"/>
        <v>44446</v>
      </c>
      <c r="V501" s="6"/>
      <c r="W501" s="253">
        <v>978397</v>
      </c>
      <c r="X501" s="6"/>
      <c r="Y501" s="44">
        <v>3.0000000000000001E-3</v>
      </c>
      <c r="Z501" s="6"/>
      <c r="AA501" s="254">
        <f t="shared" si="26"/>
        <v>4070</v>
      </c>
      <c r="AB501" s="6"/>
      <c r="AC501" s="258"/>
      <c r="AD501" s="251"/>
      <c r="AE501" s="61"/>
    </row>
    <row r="502" spans="15:31" x14ac:dyDescent="0.3">
      <c r="O502" s="98"/>
      <c r="T502" s="250"/>
      <c r="U502" s="252">
        <f t="shared" si="25"/>
        <v>44447</v>
      </c>
      <c r="V502" s="6"/>
      <c r="W502" s="253">
        <v>977839</v>
      </c>
      <c r="X502" s="6"/>
      <c r="Y502" s="44">
        <v>3.0000000000000001E-3</v>
      </c>
      <c r="Z502" s="6"/>
      <c r="AA502" s="254">
        <f t="shared" si="26"/>
        <v>558</v>
      </c>
      <c r="AB502" s="6"/>
      <c r="AC502" s="258"/>
      <c r="AD502" s="251"/>
      <c r="AE502" s="61"/>
    </row>
    <row r="503" spans="15:31" x14ac:dyDescent="0.3">
      <c r="O503" s="98"/>
      <c r="T503" s="250"/>
      <c r="U503" s="252">
        <f t="shared" si="25"/>
        <v>44448</v>
      </c>
      <c r="V503" s="6"/>
      <c r="W503" s="253">
        <v>954134</v>
      </c>
      <c r="X503" s="6"/>
      <c r="Y503" s="44">
        <v>3.0000000000000001E-3</v>
      </c>
      <c r="Z503" s="6"/>
      <c r="AA503" s="254">
        <f t="shared" si="26"/>
        <v>23705</v>
      </c>
      <c r="AB503" s="6"/>
      <c r="AC503" s="258"/>
      <c r="AD503" s="251"/>
      <c r="AE503" s="61"/>
    </row>
    <row r="504" spans="15:31" x14ac:dyDescent="0.3">
      <c r="O504" s="98"/>
      <c r="T504" s="250"/>
      <c r="U504" s="252">
        <f t="shared" si="25"/>
        <v>44449</v>
      </c>
      <c r="V504" s="6"/>
      <c r="W504" s="253">
        <v>947662</v>
      </c>
      <c r="X504" s="6"/>
      <c r="Y504" s="44">
        <v>3.0000000000000001E-3</v>
      </c>
      <c r="Z504" s="6"/>
      <c r="AA504" s="254">
        <f t="shared" si="26"/>
        <v>6472</v>
      </c>
      <c r="AB504" s="6"/>
      <c r="AC504" s="258"/>
      <c r="AD504" s="251"/>
      <c r="AE504" s="61"/>
    </row>
    <row r="505" spans="15:31" x14ac:dyDescent="0.3">
      <c r="O505" s="98"/>
      <c r="T505" s="250"/>
      <c r="U505" s="252">
        <f t="shared" si="25"/>
        <v>44450</v>
      </c>
      <c r="V505" s="6"/>
      <c r="W505" s="253">
        <v>837198</v>
      </c>
      <c r="X505" s="6"/>
      <c r="Y505" s="44">
        <v>3.0000000000000001E-3</v>
      </c>
      <c r="Z505" s="6"/>
      <c r="AA505" s="254">
        <f t="shared" si="26"/>
        <v>110464</v>
      </c>
      <c r="AB505" s="6"/>
      <c r="AC505" s="258"/>
      <c r="AD505" s="251"/>
      <c r="AE505" s="61"/>
    </row>
    <row r="506" spans="15:31" x14ac:dyDescent="0.3">
      <c r="O506" s="98"/>
      <c r="T506" s="250"/>
      <c r="U506" s="573">
        <f t="shared" si="25"/>
        <v>44451</v>
      </c>
      <c r="V506" s="6"/>
      <c r="W506" s="253">
        <v>813888</v>
      </c>
      <c r="X506" s="6"/>
      <c r="Y506" s="44">
        <v>3.0000000000000001E-3</v>
      </c>
      <c r="Z506" s="6"/>
      <c r="AA506" s="254">
        <f t="shared" si="26"/>
        <v>23310</v>
      </c>
      <c r="AB506" s="6"/>
      <c r="AC506" s="258"/>
      <c r="AD506" s="251"/>
      <c r="AE506" s="61"/>
    </row>
    <row r="507" spans="15:31" x14ac:dyDescent="0.3">
      <c r="O507" s="98"/>
      <c r="T507" s="250"/>
      <c r="U507" s="252">
        <f t="shared" si="25"/>
        <v>44452</v>
      </c>
      <c r="V507" s="6"/>
      <c r="W507" s="253">
        <v>887488</v>
      </c>
      <c r="X507" s="6"/>
      <c r="Y507" s="44">
        <v>3.0000000000000001E-3</v>
      </c>
      <c r="Z507" s="6"/>
      <c r="AA507" s="254">
        <f t="shared" ref="AA507:AA513" si="27">+W506-W507</f>
        <v>-73600</v>
      </c>
      <c r="AB507" s="6"/>
      <c r="AC507" s="258"/>
      <c r="AD507" s="251"/>
      <c r="AE507" s="61"/>
    </row>
    <row r="508" spans="15:31" x14ac:dyDescent="0.3">
      <c r="O508" s="98"/>
      <c r="T508" s="250"/>
      <c r="U508" s="252">
        <f t="shared" si="25"/>
        <v>44453</v>
      </c>
      <c r="V508" s="6"/>
      <c r="W508" s="253">
        <v>990004</v>
      </c>
      <c r="X508" s="6"/>
      <c r="Y508" s="44">
        <v>3.0000000000000001E-3</v>
      </c>
      <c r="Z508" s="6"/>
      <c r="AA508" s="254">
        <f t="shared" si="27"/>
        <v>-102516</v>
      </c>
      <c r="AB508" s="6"/>
      <c r="AC508" s="258"/>
      <c r="AD508" s="251"/>
      <c r="AE508" s="61"/>
    </row>
    <row r="509" spans="15:31" x14ac:dyDescent="0.3">
      <c r="O509" s="98"/>
      <c r="T509" s="250"/>
      <c r="U509" s="252">
        <f t="shared" si="25"/>
        <v>44454</v>
      </c>
      <c r="V509" s="6"/>
      <c r="W509" s="253">
        <v>1038631</v>
      </c>
      <c r="X509" s="6"/>
      <c r="Y509" s="44">
        <v>3.0000000000000001E-3</v>
      </c>
      <c r="Z509" s="6"/>
      <c r="AA509" s="254">
        <f t="shared" si="27"/>
        <v>-48627</v>
      </c>
      <c r="AB509" s="6"/>
      <c r="AC509" s="258"/>
      <c r="AD509" s="251"/>
      <c r="AE509" s="61"/>
    </row>
    <row r="510" spans="15:31" x14ac:dyDescent="0.3">
      <c r="O510" s="98"/>
      <c r="T510" s="250"/>
      <c r="U510" s="252">
        <f t="shared" si="25"/>
        <v>44455</v>
      </c>
      <c r="V510" s="6"/>
      <c r="W510" s="253">
        <v>1031762</v>
      </c>
      <c r="X510" s="6"/>
      <c r="Y510" s="44">
        <v>3.0000000000000001E-3</v>
      </c>
      <c r="Z510" s="6"/>
      <c r="AA510" s="254">
        <f t="shared" si="27"/>
        <v>6869</v>
      </c>
      <c r="AB510" s="6"/>
      <c r="AC510" s="258"/>
      <c r="AD510" s="251"/>
      <c r="AE510" s="61"/>
    </row>
    <row r="511" spans="15:31" x14ac:dyDescent="0.3">
      <c r="O511" s="98"/>
      <c r="T511" s="250"/>
      <c r="U511" s="252">
        <f t="shared" si="25"/>
        <v>44456</v>
      </c>
      <c r="V511" s="6"/>
      <c r="W511" s="253">
        <v>1029117</v>
      </c>
      <c r="X511" s="6"/>
      <c r="Y511" s="44">
        <v>3.0000000000000001E-3</v>
      </c>
      <c r="Z511" s="6"/>
      <c r="AA511" s="254">
        <f t="shared" si="27"/>
        <v>2645</v>
      </c>
      <c r="AB511" s="6"/>
      <c r="AC511" s="258"/>
      <c r="AD511" s="251"/>
      <c r="AE511" s="61"/>
    </row>
    <row r="512" spans="15:31" x14ac:dyDescent="0.3">
      <c r="O512" s="98"/>
      <c r="T512" s="250"/>
      <c r="U512" s="252">
        <f t="shared" si="25"/>
        <v>44457</v>
      </c>
      <c r="V512" s="6"/>
      <c r="W512" s="253">
        <v>922245</v>
      </c>
      <c r="X512" s="6"/>
      <c r="Y512" s="44">
        <v>3.0000000000000001E-3</v>
      </c>
      <c r="Z512" s="6"/>
      <c r="AA512" s="254">
        <f t="shared" si="27"/>
        <v>106872</v>
      </c>
      <c r="AB512" s="6"/>
      <c r="AC512" s="258"/>
      <c r="AD512" s="251"/>
      <c r="AE512" s="61"/>
    </row>
    <row r="513" spans="15:31" x14ac:dyDescent="0.3">
      <c r="O513" s="98"/>
      <c r="T513" s="250"/>
      <c r="U513" s="573">
        <f t="shared" si="25"/>
        <v>44458</v>
      </c>
      <c r="V513" s="6"/>
      <c r="W513" s="253">
        <v>882573</v>
      </c>
      <c r="X513" s="6"/>
      <c r="Y513" s="44">
        <v>3.0000000000000001E-3</v>
      </c>
      <c r="Z513" s="6"/>
      <c r="AA513" s="254">
        <f t="shared" si="27"/>
        <v>39672</v>
      </c>
      <c r="AB513" s="6"/>
      <c r="AC513" s="258"/>
      <c r="AD513" s="251"/>
      <c r="AE513" s="61"/>
    </row>
    <row r="514" spans="15:31" x14ac:dyDescent="0.3">
      <c r="O514" s="98"/>
      <c r="T514" s="250"/>
      <c r="U514" s="252">
        <f t="shared" si="25"/>
        <v>44459</v>
      </c>
      <c r="V514" s="6"/>
      <c r="W514" s="253">
        <v>882573</v>
      </c>
      <c r="X514" s="6"/>
      <c r="Y514" s="44">
        <v>3.0000000000000001E-3</v>
      </c>
      <c r="Z514" s="6"/>
      <c r="AA514" s="254">
        <v>39672</v>
      </c>
      <c r="AB514" s="6"/>
      <c r="AC514" s="258"/>
      <c r="AD514" s="251"/>
      <c r="AE514" s="61"/>
    </row>
    <row r="515" spans="15:31" x14ac:dyDescent="0.3">
      <c r="O515" s="98"/>
      <c r="T515" s="250"/>
      <c r="U515" s="252">
        <f t="shared" si="25"/>
        <v>44460</v>
      </c>
      <c r="V515" s="6"/>
      <c r="W515" s="253">
        <v>882573</v>
      </c>
      <c r="X515" s="6"/>
      <c r="Y515" s="44">
        <v>3.0000000000000001E-3</v>
      </c>
      <c r="Z515" s="6"/>
      <c r="AA515" s="254">
        <v>39672</v>
      </c>
      <c r="AB515" s="6"/>
      <c r="AC515" s="258"/>
      <c r="AD515" s="251"/>
      <c r="AE515" s="61"/>
    </row>
    <row r="516" spans="15:31" x14ac:dyDescent="0.3">
      <c r="O516" s="98"/>
      <c r="T516" s="250"/>
      <c r="U516" s="252">
        <f t="shared" si="25"/>
        <v>44461</v>
      </c>
      <c r="V516" s="6"/>
      <c r="W516" s="580">
        <v>938759</v>
      </c>
      <c r="X516" s="581"/>
      <c r="Y516" s="44">
        <v>3.0000000000000001E-3</v>
      </c>
      <c r="Z516" s="581"/>
      <c r="AA516" s="582">
        <f t="shared" ref="AA516:AA563" si="28">+W515-W516</f>
        <v>-56186</v>
      </c>
      <c r="AB516" s="581"/>
      <c r="AC516" s="583"/>
      <c r="AD516" s="251"/>
    </row>
    <row r="517" spans="15:31" x14ac:dyDescent="0.3">
      <c r="O517" s="98"/>
      <c r="T517" s="250"/>
      <c r="U517" s="252">
        <f t="shared" si="25"/>
        <v>44462</v>
      </c>
      <c r="V517" s="6"/>
      <c r="W517" s="580">
        <v>901303</v>
      </c>
      <c r="X517" s="581"/>
      <c r="Y517" s="44">
        <v>3.0000000000000001E-3</v>
      </c>
      <c r="Z517" s="581"/>
      <c r="AA517" s="582">
        <f t="shared" si="28"/>
        <v>37456</v>
      </c>
      <c r="AB517" s="581"/>
      <c r="AC517" s="583"/>
      <c r="AD517" s="251"/>
    </row>
    <row r="518" spans="15:31" x14ac:dyDescent="0.3">
      <c r="O518" s="98"/>
      <c r="T518" s="250"/>
      <c r="U518" s="252">
        <f t="shared" si="25"/>
        <v>44463</v>
      </c>
      <c r="V518" s="6"/>
      <c r="W518" s="580">
        <v>880622</v>
      </c>
      <c r="X518" s="581"/>
      <c r="Y518" s="44">
        <v>3.0000000000000001E-3</v>
      </c>
      <c r="Z518" s="581"/>
      <c r="AA518" s="582">
        <f t="shared" si="28"/>
        <v>20681</v>
      </c>
      <c r="AB518" s="581"/>
      <c r="AC518" s="583"/>
      <c r="AD518" s="251"/>
    </row>
    <row r="519" spans="15:31" x14ac:dyDescent="0.3">
      <c r="O519" s="98"/>
      <c r="T519" s="250"/>
      <c r="U519" s="252">
        <f t="shared" si="25"/>
        <v>44464</v>
      </c>
      <c r="V519" s="6"/>
      <c r="W519" s="580">
        <v>806626</v>
      </c>
      <c r="X519" s="581"/>
      <c r="Y519" s="44">
        <v>3.0000000000000001E-3</v>
      </c>
      <c r="Z519" s="581"/>
      <c r="AA519" s="582">
        <f t="shared" si="28"/>
        <v>73996</v>
      </c>
      <c r="AB519" s="581"/>
      <c r="AC519" s="583"/>
      <c r="AD519" s="251"/>
    </row>
    <row r="520" spans="15:31" x14ac:dyDescent="0.3">
      <c r="O520" s="98"/>
      <c r="T520" s="250"/>
      <c r="U520" s="573">
        <f t="shared" si="25"/>
        <v>44465</v>
      </c>
      <c r="V520" s="6"/>
      <c r="W520" s="580">
        <v>800689</v>
      </c>
      <c r="X520" s="581"/>
      <c r="Y520" s="44">
        <v>3.0000000000000001E-3</v>
      </c>
      <c r="Z520" s="581"/>
      <c r="AA520" s="582">
        <f t="shared" si="28"/>
        <v>5937</v>
      </c>
      <c r="AB520" s="581"/>
      <c r="AC520" s="583"/>
      <c r="AD520" s="251"/>
    </row>
    <row r="521" spans="15:31" x14ac:dyDescent="0.3">
      <c r="O521" s="98"/>
      <c r="T521" s="250"/>
      <c r="U521" s="252">
        <f t="shared" si="25"/>
        <v>44466</v>
      </c>
      <c r="V521" s="6"/>
      <c r="W521" s="580">
        <v>845370</v>
      </c>
      <c r="X521" s="581"/>
      <c r="Y521" s="44">
        <v>3.0000000000000001E-3</v>
      </c>
      <c r="Z521" s="581"/>
      <c r="AA521" s="582">
        <f t="shared" si="28"/>
        <v>-44681</v>
      </c>
      <c r="AB521" s="581"/>
      <c r="AC521" s="583"/>
      <c r="AD521" s="251"/>
    </row>
    <row r="522" spans="15:31" x14ac:dyDescent="0.3">
      <c r="O522" s="98"/>
      <c r="T522" s="250"/>
      <c r="U522" s="252">
        <f t="shared" si="25"/>
        <v>44467</v>
      </c>
      <c r="V522" s="6"/>
      <c r="W522" s="580">
        <v>864408</v>
      </c>
      <c r="X522" s="581"/>
      <c r="Y522" s="44">
        <v>3.0000000000000001E-3</v>
      </c>
      <c r="Z522" s="581"/>
      <c r="AA522" s="582">
        <f t="shared" si="28"/>
        <v>-19038</v>
      </c>
      <c r="AB522" s="581"/>
      <c r="AC522" s="583"/>
      <c r="AD522" s="251"/>
    </row>
    <row r="523" spans="15:31" x14ac:dyDescent="0.3">
      <c r="O523" s="98"/>
      <c r="T523" s="250"/>
      <c r="U523" s="252">
        <f t="shared" si="25"/>
        <v>44468</v>
      </c>
      <c r="V523" s="6"/>
      <c r="W523" s="580">
        <v>866718</v>
      </c>
      <c r="X523" s="581"/>
      <c r="Y523" s="44">
        <v>3.0000000000000001E-3</v>
      </c>
      <c r="Z523" s="581"/>
      <c r="AA523" s="582">
        <f t="shared" si="28"/>
        <v>-2310</v>
      </c>
      <c r="AB523" s="581"/>
      <c r="AC523" s="583"/>
      <c r="AD523" s="251"/>
    </row>
    <row r="524" spans="15:31" x14ac:dyDescent="0.3">
      <c r="O524" s="98"/>
      <c r="T524" s="250"/>
      <c r="U524" s="252">
        <f t="shared" si="25"/>
        <v>44469</v>
      </c>
      <c r="V524" s="6"/>
      <c r="W524" s="580">
        <v>846510</v>
      </c>
      <c r="X524" s="581"/>
      <c r="Y524" s="44">
        <v>3.0000000000000001E-3</v>
      </c>
      <c r="Z524" s="581"/>
      <c r="AA524" s="582">
        <f t="shared" si="28"/>
        <v>20208</v>
      </c>
      <c r="AB524" s="581"/>
      <c r="AC524" s="583"/>
      <c r="AD524" s="251"/>
    </row>
    <row r="525" spans="15:31" x14ac:dyDescent="0.3">
      <c r="O525" s="98"/>
      <c r="T525" s="250"/>
      <c r="U525" s="252">
        <f t="shared" si="25"/>
        <v>44470</v>
      </c>
      <c r="V525" s="6"/>
      <c r="W525" s="580">
        <v>839428</v>
      </c>
      <c r="X525" s="581"/>
      <c r="Y525" s="44">
        <v>3.0000000000000001E-3</v>
      </c>
      <c r="Z525" s="581"/>
      <c r="AA525" s="582">
        <f t="shared" si="28"/>
        <v>7082</v>
      </c>
      <c r="AB525" s="581"/>
      <c r="AC525" s="583"/>
      <c r="AD525" s="251"/>
    </row>
    <row r="526" spans="15:31" x14ac:dyDescent="0.3">
      <c r="O526" s="98"/>
      <c r="T526" s="250"/>
      <c r="U526" s="252">
        <f t="shared" si="25"/>
        <v>44471</v>
      </c>
      <c r="V526" s="6"/>
      <c r="W526" s="580">
        <v>754488</v>
      </c>
      <c r="X526" s="581"/>
      <c r="Y526" s="44">
        <v>3.0000000000000001E-3</v>
      </c>
      <c r="Z526" s="581"/>
      <c r="AA526" s="582">
        <f t="shared" si="28"/>
        <v>84940</v>
      </c>
      <c r="AB526" s="581"/>
      <c r="AC526" s="583"/>
      <c r="AD526" s="251"/>
    </row>
    <row r="527" spans="15:31" x14ac:dyDescent="0.3">
      <c r="O527" s="98"/>
      <c r="T527" s="250"/>
      <c r="U527" s="573">
        <f t="shared" si="25"/>
        <v>44472</v>
      </c>
      <c r="V527" s="6"/>
      <c r="W527" s="580">
        <v>696389</v>
      </c>
      <c r="X527" s="581"/>
      <c r="Y527" s="44">
        <v>3.0000000000000001E-3</v>
      </c>
      <c r="Z527" s="581"/>
      <c r="AA527" s="582">
        <f t="shared" si="28"/>
        <v>58099</v>
      </c>
      <c r="AB527" s="581"/>
      <c r="AC527" s="583"/>
      <c r="AD527" s="251"/>
    </row>
    <row r="528" spans="15:31" x14ac:dyDescent="0.3">
      <c r="O528" s="98"/>
      <c r="T528" s="250"/>
      <c r="U528" s="252">
        <f t="shared" si="25"/>
        <v>44473</v>
      </c>
      <c r="V528" s="6"/>
      <c r="W528" s="580">
        <v>711315</v>
      </c>
      <c r="X528" s="581"/>
      <c r="Y528" s="44">
        <v>3.0000000000000001E-3</v>
      </c>
      <c r="Z528" s="581"/>
      <c r="AA528" s="582">
        <f t="shared" si="28"/>
        <v>-14926</v>
      </c>
      <c r="AB528" s="581"/>
      <c r="AC528" s="583"/>
      <c r="AD528" s="251"/>
    </row>
    <row r="529" spans="15:30" x14ac:dyDescent="0.3">
      <c r="O529" s="98"/>
      <c r="T529" s="250"/>
      <c r="U529" s="252">
        <f t="shared" si="25"/>
        <v>44474</v>
      </c>
      <c r="V529" s="6"/>
      <c r="W529" s="580">
        <v>724216</v>
      </c>
      <c r="X529" s="581"/>
      <c r="Y529" s="44">
        <v>3.0000000000000001E-3</v>
      </c>
      <c r="Z529" s="581"/>
      <c r="AA529" s="582">
        <f t="shared" si="28"/>
        <v>-12901</v>
      </c>
      <c r="AB529" s="581"/>
      <c r="AC529" s="583"/>
      <c r="AD529" s="251"/>
    </row>
    <row r="530" spans="15:30" x14ac:dyDescent="0.3">
      <c r="O530" s="98"/>
      <c r="T530" s="250"/>
      <c r="U530" s="252">
        <f t="shared" si="25"/>
        <v>44475</v>
      </c>
      <c r="V530" s="6"/>
      <c r="W530" s="580">
        <v>726333</v>
      </c>
      <c r="X530" s="581"/>
      <c r="Y530" s="44">
        <v>3.0000000000000001E-3</v>
      </c>
      <c r="Z530" s="581"/>
      <c r="AA530" s="582">
        <f t="shared" si="28"/>
        <v>-2117</v>
      </c>
      <c r="AB530" s="581"/>
      <c r="AC530" s="583"/>
      <c r="AD530" s="251"/>
    </row>
    <row r="531" spans="15:30" x14ac:dyDescent="0.3">
      <c r="O531" s="98"/>
      <c r="T531" s="250"/>
      <c r="U531" s="252">
        <f t="shared" si="25"/>
        <v>44476</v>
      </c>
      <c r="V531" s="6"/>
      <c r="W531" s="580">
        <v>711308</v>
      </c>
      <c r="X531" s="581"/>
      <c r="Y531" s="44">
        <v>3.0000000000000001E-3</v>
      </c>
      <c r="Z531" s="581"/>
      <c r="AA531" s="582">
        <f t="shared" si="28"/>
        <v>15025</v>
      </c>
      <c r="AB531" s="581"/>
      <c r="AC531" s="583"/>
      <c r="AD531" s="251"/>
    </row>
    <row r="532" spans="15:30" x14ac:dyDescent="0.3">
      <c r="O532" s="98"/>
      <c r="T532" s="250"/>
      <c r="U532" s="252">
        <f t="shared" si="25"/>
        <v>44477</v>
      </c>
      <c r="V532" s="6"/>
      <c r="W532" s="580">
        <v>703338</v>
      </c>
      <c r="X532" s="581"/>
      <c r="Y532" s="44">
        <v>3.0000000000000001E-3</v>
      </c>
      <c r="Z532" s="581"/>
      <c r="AA532" s="582">
        <f t="shared" si="28"/>
        <v>7970</v>
      </c>
      <c r="AB532" s="581"/>
      <c r="AC532" s="583"/>
      <c r="AD532" s="251"/>
    </row>
    <row r="533" spans="15:30" x14ac:dyDescent="0.3">
      <c r="O533" s="98"/>
      <c r="T533" s="250"/>
      <c r="U533" s="252">
        <f t="shared" si="25"/>
        <v>44478</v>
      </c>
      <c r="V533" s="6"/>
      <c r="W533" s="580">
        <v>624479</v>
      </c>
      <c r="X533" s="581"/>
      <c r="Y533" s="44">
        <v>3.0000000000000001E-3</v>
      </c>
      <c r="Z533" s="581"/>
      <c r="AA533" s="582">
        <f t="shared" si="28"/>
        <v>78859</v>
      </c>
      <c r="AB533" s="581"/>
      <c r="AC533" s="583"/>
      <c r="AD533" s="251"/>
    </row>
    <row r="534" spans="15:30" x14ac:dyDescent="0.3">
      <c r="O534" s="98"/>
      <c r="T534" s="250"/>
      <c r="U534" s="573">
        <f t="shared" si="25"/>
        <v>44479</v>
      </c>
      <c r="V534" s="6"/>
      <c r="W534" s="580">
        <v>602658</v>
      </c>
      <c r="X534" s="581"/>
      <c r="Y534" s="44">
        <v>3.0000000000000001E-3</v>
      </c>
      <c r="Z534" s="581"/>
      <c r="AA534" s="582">
        <f t="shared" si="28"/>
        <v>21821</v>
      </c>
      <c r="AB534" s="581"/>
      <c r="AC534" s="583"/>
      <c r="AD534" s="251"/>
    </row>
    <row r="535" spans="15:30" x14ac:dyDescent="0.3">
      <c r="O535" s="98"/>
      <c r="T535" s="250"/>
      <c r="U535" s="252">
        <f t="shared" si="25"/>
        <v>44480</v>
      </c>
      <c r="V535" s="6"/>
      <c r="W535" s="580">
        <v>640716</v>
      </c>
      <c r="X535" s="581"/>
      <c r="Y535" s="44">
        <v>3.0000000000000001E-3</v>
      </c>
      <c r="Z535" s="581"/>
      <c r="AA535" s="582">
        <f t="shared" si="28"/>
        <v>-38058</v>
      </c>
      <c r="AB535" s="581"/>
      <c r="AC535" s="583"/>
      <c r="AD535" s="251"/>
    </row>
    <row r="536" spans="15:30" x14ac:dyDescent="0.3">
      <c r="O536" s="98"/>
      <c r="T536" s="250"/>
      <c r="U536" s="252">
        <f t="shared" si="25"/>
        <v>44481</v>
      </c>
      <c r="V536" s="6"/>
      <c r="W536" s="580">
        <v>659234</v>
      </c>
      <c r="X536" s="581"/>
      <c r="Y536" s="44">
        <v>3.0000000000000001E-3</v>
      </c>
      <c r="Z536" s="581"/>
      <c r="AA536" s="582">
        <f t="shared" si="28"/>
        <v>-18518</v>
      </c>
      <c r="AB536" s="581"/>
      <c r="AC536" s="583"/>
      <c r="AD536" s="251"/>
    </row>
    <row r="537" spans="15:30" x14ac:dyDescent="0.3">
      <c r="O537" s="98"/>
      <c r="T537" s="250"/>
      <c r="U537" s="252">
        <f t="shared" si="25"/>
        <v>44482</v>
      </c>
      <c r="V537" s="6"/>
      <c r="W537" s="580">
        <v>664198</v>
      </c>
      <c r="X537" s="581"/>
      <c r="Y537" s="44">
        <v>3.0000000000000001E-3</v>
      </c>
      <c r="Z537" s="581"/>
      <c r="AA537" s="582">
        <f t="shared" si="28"/>
        <v>-4964</v>
      </c>
      <c r="AB537" s="581"/>
      <c r="AC537" s="583"/>
      <c r="AD537" s="251"/>
    </row>
    <row r="538" spans="15:30" x14ac:dyDescent="0.3">
      <c r="O538" s="98"/>
      <c r="T538" s="250"/>
      <c r="U538" s="252">
        <f t="shared" si="25"/>
        <v>44483</v>
      </c>
      <c r="V538" s="6"/>
      <c r="W538" s="580">
        <v>645000</v>
      </c>
      <c r="X538" s="581"/>
      <c r="Y538" s="44">
        <v>3.0000000000000001E-3</v>
      </c>
      <c r="Z538" s="581"/>
      <c r="AA538" s="582">
        <f t="shared" si="28"/>
        <v>19198</v>
      </c>
      <c r="AB538" s="581"/>
      <c r="AC538" s="583"/>
      <c r="AD538" s="251"/>
    </row>
    <row r="539" spans="15:30" x14ac:dyDescent="0.3">
      <c r="O539" s="98"/>
      <c r="T539" s="250"/>
      <c r="U539" s="252">
        <f t="shared" si="25"/>
        <v>44484</v>
      </c>
      <c r="V539" s="6"/>
      <c r="W539" s="580">
        <v>630132</v>
      </c>
      <c r="X539" s="581"/>
      <c r="Y539" s="44">
        <v>3.0000000000000001E-3</v>
      </c>
      <c r="Z539" s="581"/>
      <c r="AA539" s="582">
        <f t="shared" si="28"/>
        <v>14868</v>
      </c>
      <c r="AB539" s="581"/>
      <c r="AC539" s="583"/>
      <c r="AD539" s="251"/>
    </row>
    <row r="540" spans="15:30" x14ac:dyDescent="0.3">
      <c r="O540" s="98"/>
      <c r="T540" s="250"/>
      <c r="U540" s="252">
        <f t="shared" si="25"/>
        <v>44485</v>
      </c>
      <c r="V540" s="6"/>
      <c r="W540" s="580">
        <v>555753</v>
      </c>
      <c r="X540" s="581"/>
      <c r="Y540" s="44">
        <v>3.0000000000000001E-3</v>
      </c>
      <c r="Z540" s="581"/>
      <c r="AA540" s="582">
        <f t="shared" si="28"/>
        <v>74379</v>
      </c>
      <c r="AB540" s="581"/>
      <c r="AC540" s="583"/>
      <c r="AD540" s="251"/>
    </row>
    <row r="541" spans="15:30" x14ac:dyDescent="0.3">
      <c r="O541" s="98"/>
      <c r="T541" s="250"/>
      <c r="U541" s="573">
        <f t="shared" si="25"/>
        <v>44486</v>
      </c>
      <c r="V541" s="6"/>
      <c r="W541" s="580">
        <v>531343</v>
      </c>
      <c r="X541" s="581"/>
      <c r="Y541" s="44">
        <v>3.0000000000000001E-3</v>
      </c>
      <c r="Z541" s="581"/>
      <c r="AA541" s="582">
        <f t="shared" si="28"/>
        <v>24410</v>
      </c>
      <c r="AB541" s="581"/>
      <c r="AC541" s="583"/>
      <c r="AD541" s="251"/>
    </row>
    <row r="542" spans="15:30" x14ac:dyDescent="0.3">
      <c r="O542" s="98"/>
      <c r="T542" s="250"/>
      <c r="U542" s="252">
        <f t="shared" si="25"/>
        <v>44487</v>
      </c>
      <c r="V542" s="6"/>
      <c r="W542" s="580">
        <v>559543</v>
      </c>
      <c r="X542" s="581"/>
      <c r="Y542" s="44">
        <v>3.0000000000000001E-3</v>
      </c>
      <c r="Z542" s="581"/>
      <c r="AA542" s="582">
        <f t="shared" si="28"/>
        <v>-28200</v>
      </c>
      <c r="AB542" s="581"/>
      <c r="AC542" s="583"/>
      <c r="AD542" s="251"/>
    </row>
    <row r="543" spans="15:30" x14ac:dyDescent="0.3">
      <c r="O543" s="98"/>
      <c r="T543" s="250"/>
      <c r="U543" s="252">
        <f t="shared" si="25"/>
        <v>44488</v>
      </c>
      <c r="V543" s="6"/>
      <c r="W543" s="580">
        <v>566361</v>
      </c>
      <c r="X543" s="581"/>
      <c r="Y543" s="44">
        <v>3.0000000000000001E-3</v>
      </c>
      <c r="Z543" s="581"/>
      <c r="AA543" s="582">
        <f t="shared" si="28"/>
        <v>-6818</v>
      </c>
      <c r="AB543" s="581"/>
      <c r="AC543" s="583"/>
      <c r="AD543" s="251"/>
    </row>
    <row r="544" spans="15:30" x14ac:dyDescent="0.3">
      <c r="O544" s="98"/>
      <c r="T544" s="250"/>
      <c r="U544" s="252">
        <f t="shared" si="25"/>
        <v>44489</v>
      </c>
      <c r="V544" s="6"/>
      <c r="W544" s="580">
        <v>554165</v>
      </c>
      <c r="X544" s="581"/>
      <c r="Y544" s="44">
        <v>3.0000000000000001E-3</v>
      </c>
      <c r="Z544" s="581"/>
      <c r="AA544" s="582">
        <f t="shared" si="28"/>
        <v>12196</v>
      </c>
      <c r="AB544" s="581"/>
      <c r="AC544" s="583"/>
      <c r="AD544" s="251"/>
    </row>
    <row r="545" spans="15:30" x14ac:dyDescent="0.3">
      <c r="O545" s="98"/>
      <c r="T545" s="250"/>
      <c r="U545" s="252">
        <f t="shared" si="25"/>
        <v>44490</v>
      </c>
      <c r="V545" s="6"/>
      <c r="W545" s="580">
        <v>534939</v>
      </c>
      <c r="X545" s="581"/>
      <c r="Y545" s="44">
        <v>3.0000000000000001E-3</v>
      </c>
      <c r="Z545" s="581"/>
      <c r="AA545" s="582">
        <f t="shared" si="28"/>
        <v>19226</v>
      </c>
      <c r="AB545" s="581"/>
      <c r="AC545" s="583"/>
      <c r="AD545" s="251"/>
    </row>
    <row r="546" spans="15:30" x14ac:dyDescent="0.3">
      <c r="O546" s="98"/>
      <c r="T546" s="250"/>
      <c r="U546" s="252">
        <f t="shared" si="25"/>
        <v>44491</v>
      </c>
      <c r="V546" s="6"/>
      <c r="W546" s="580">
        <v>527340</v>
      </c>
      <c r="X546" s="581"/>
      <c r="Y546" s="44">
        <v>3.0000000000000001E-3</v>
      </c>
      <c r="Z546" s="581"/>
      <c r="AA546" s="582">
        <f t="shared" si="28"/>
        <v>7599</v>
      </c>
      <c r="AB546" s="581"/>
      <c r="AC546" s="583"/>
      <c r="AD546" s="251"/>
    </row>
    <row r="547" spans="15:30" x14ac:dyDescent="0.3">
      <c r="O547" s="98"/>
      <c r="T547" s="250"/>
      <c r="U547" s="252">
        <f t="shared" si="25"/>
        <v>44492</v>
      </c>
      <c r="V547" s="6"/>
      <c r="W547" s="580">
        <v>463140</v>
      </c>
      <c r="X547" s="581"/>
      <c r="Y547" s="44">
        <v>3.0000000000000001E-3</v>
      </c>
      <c r="Z547" s="581"/>
      <c r="AA547" s="582">
        <f t="shared" si="28"/>
        <v>64200</v>
      </c>
      <c r="AB547" s="581"/>
      <c r="AC547" s="583"/>
      <c r="AD547" s="251"/>
    </row>
    <row r="548" spans="15:30" x14ac:dyDescent="0.3">
      <c r="O548" s="98"/>
      <c r="T548" s="250"/>
      <c r="U548" s="573">
        <f t="shared" si="25"/>
        <v>44493</v>
      </c>
      <c r="V548" s="6"/>
      <c r="W548" s="580">
        <v>446500</v>
      </c>
      <c r="X548" s="581"/>
      <c r="Y548" s="44">
        <v>3.0000000000000001E-3</v>
      </c>
      <c r="Z548" s="581"/>
      <c r="AA548" s="582">
        <f t="shared" si="28"/>
        <v>16640</v>
      </c>
      <c r="AB548" s="581"/>
      <c r="AC548" s="583"/>
      <c r="AD548" s="251"/>
    </row>
    <row r="549" spans="15:30" x14ac:dyDescent="0.3">
      <c r="O549" s="98"/>
      <c r="T549" s="250"/>
      <c r="U549" s="252">
        <f t="shared" si="25"/>
        <v>44494</v>
      </c>
      <c r="V549" s="6"/>
      <c r="W549" s="580">
        <v>477258</v>
      </c>
      <c r="X549" s="581"/>
      <c r="Y549" s="44">
        <v>3.0000000000000001E-3</v>
      </c>
      <c r="Z549" s="581"/>
      <c r="AA549" s="582">
        <f t="shared" si="28"/>
        <v>-30758</v>
      </c>
      <c r="AB549" s="581"/>
      <c r="AC549" s="583"/>
      <c r="AD549" s="251"/>
    </row>
    <row r="550" spans="15:30" x14ac:dyDescent="0.3">
      <c r="O550" s="98"/>
      <c r="T550" s="250"/>
      <c r="U550" s="252">
        <f t="shared" si="25"/>
        <v>44495</v>
      </c>
      <c r="V550" s="6"/>
      <c r="W550" s="580">
        <v>493596</v>
      </c>
      <c r="X550" s="581"/>
      <c r="Y550" s="44">
        <v>3.0000000000000001E-3</v>
      </c>
      <c r="Z550" s="581"/>
      <c r="AA550" s="582">
        <f t="shared" si="28"/>
        <v>-16338</v>
      </c>
      <c r="AB550" s="581"/>
      <c r="AC550" s="583"/>
      <c r="AD550" s="251"/>
    </row>
    <row r="551" spans="15:30" x14ac:dyDescent="0.3">
      <c r="O551" s="98"/>
      <c r="T551" s="250"/>
      <c r="U551" s="252">
        <f t="shared" si="25"/>
        <v>44496</v>
      </c>
      <c r="V551" s="6"/>
      <c r="W551" s="580">
        <v>500538</v>
      </c>
      <c r="X551" s="581"/>
      <c r="Y551" s="44">
        <v>3.0000000000000001E-3</v>
      </c>
      <c r="Z551" s="581"/>
      <c r="AA551" s="582">
        <f t="shared" si="28"/>
        <v>-6942</v>
      </c>
      <c r="AB551" s="581"/>
      <c r="AC551" s="583"/>
      <c r="AD551" s="251"/>
    </row>
    <row r="552" spans="15:30" x14ac:dyDescent="0.3">
      <c r="O552" s="98"/>
      <c r="T552" s="250"/>
      <c r="U552" s="252">
        <f t="shared" si="25"/>
        <v>44497</v>
      </c>
      <c r="V552" s="6"/>
      <c r="W552" s="580">
        <v>498430</v>
      </c>
      <c r="X552" s="581"/>
      <c r="Y552" s="44">
        <v>3.0000000000000001E-3</v>
      </c>
      <c r="Z552" s="581"/>
      <c r="AA552" s="582">
        <f t="shared" si="28"/>
        <v>2108</v>
      </c>
      <c r="AB552" s="581"/>
      <c r="AC552" s="583"/>
      <c r="AD552" s="251"/>
    </row>
    <row r="553" spans="15:30" x14ac:dyDescent="0.3">
      <c r="O553" s="98"/>
      <c r="T553" s="250"/>
      <c r="U553" s="252">
        <f t="shared" si="25"/>
        <v>44498</v>
      </c>
      <c r="V553" s="6"/>
      <c r="W553" s="580">
        <v>497824</v>
      </c>
      <c r="X553" s="581"/>
      <c r="Y553" s="44">
        <v>3.0000000000000001E-3</v>
      </c>
      <c r="Z553" s="581"/>
      <c r="AA553" s="582">
        <f t="shared" si="28"/>
        <v>606</v>
      </c>
      <c r="AB553" s="581"/>
      <c r="AC553" s="583"/>
      <c r="AD553" s="251"/>
    </row>
    <row r="554" spans="15:30" x14ac:dyDescent="0.3">
      <c r="O554" s="98"/>
      <c r="T554" s="250"/>
      <c r="U554" s="252">
        <f t="shared" si="25"/>
        <v>44499</v>
      </c>
      <c r="V554" s="6"/>
      <c r="W554" s="580">
        <v>445959</v>
      </c>
      <c r="X554" s="581"/>
      <c r="Y554" s="44">
        <v>3.0000000000000001E-3</v>
      </c>
      <c r="Z554" s="581"/>
      <c r="AA554" s="582">
        <f t="shared" si="28"/>
        <v>51865</v>
      </c>
      <c r="AB554" s="581"/>
      <c r="AC554" s="583"/>
      <c r="AD554" s="251"/>
    </row>
    <row r="555" spans="15:30" x14ac:dyDescent="0.3">
      <c r="O555" s="98"/>
      <c r="T555" s="250"/>
      <c r="U555" s="573">
        <f t="shared" si="25"/>
        <v>44500</v>
      </c>
      <c r="V555" s="6"/>
      <c r="W555" s="580">
        <v>436885</v>
      </c>
      <c r="X555" s="581"/>
      <c r="Y555" s="44">
        <v>3.0000000000000001E-3</v>
      </c>
      <c r="Z555" s="581"/>
      <c r="AA555" s="582">
        <f t="shared" si="28"/>
        <v>9074</v>
      </c>
      <c r="AB555" s="581"/>
      <c r="AC555" s="583"/>
      <c r="AD555" s="251"/>
    </row>
    <row r="556" spans="15:30" x14ac:dyDescent="0.3">
      <c r="O556" s="98"/>
      <c r="T556" s="250"/>
      <c r="U556" s="252">
        <f t="shared" si="25"/>
        <v>44501</v>
      </c>
      <c r="V556" s="6"/>
      <c r="W556" s="580">
        <v>437866</v>
      </c>
      <c r="X556" s="581"/>
      <c r="Y556" s="44">
        <v>3.0000000000000001E-3</v>
      </c>
      <c r="Z556" s="581"/>
      <c r="AA556" s="582">
        <f t="shared" si="28"/>
        <v>-981</v>
      </c>
      <c r="AB556" s="581"/>
      <c r="AC556" s="583"/>
      <c r="AD556" s="251"/>
    </row>
    <row r="557" spans="15:30" x14ac:dyDescent="0.3">
      <c r="O557" s="98"/>
      <c r="T557" s="250"/>
      <c r="U557" s="252">
        <f t="shared" si="25"/>
        <v>44502</v>
      </c>
      <c r="V557" s="6"/>
      <c r="W557" s="580">
        <v>501312</v>
      </c>
      <c r="X557" s="581"/>
      <c r="Y557" s="44">
        <v>3.0000000000000001E-3</v>
      </c>
      <c r="Z557" s="581"/>
      <c r="AA557" s="582">
        <f t="shared" si="28"/>
        <v>-63446</v>
      </c>
      <c r="AB557" s="581"/>
      <c r="AC557" s="583"/>
      <c r="AD557" s="251"/>
    </row>
    <row r="558" spans="15:30" x14ac:dyDescent="0.3">
      <c r="O558" s="98"/>
      <c r="T558" s="250"/>
      <c r="U558" s="252">
        <f t="shared" si="25"/>
        <v>44503</v>
      </c>
      <c r="V558" s="6"/>
      <c r="W558" s="580">
        <v>431586</v>
      </c>
      <c r="X558" s="581"/>
      <c r="Y558" s="44">
        <v>3.0000000000000001E-3</v>
      </c>
      <c r="Z558" s="581"/>
      <c r="AA558" s="582">
        <f t="shared" si="28"/>
        <v>69726</v>
      </c>
      <c r="AB558" s="581"/>
      <c r="AC558" s="583"/>
      <c r="AD558" s="251"/>
    </row>
    <row r="559" spans="15:30" x14ac:dyDescent="0.3">
      <c r="O559" s="98"/>
      <c r="T559" s="250"/>
      <c r="U559" s="252">
        <f t="shared" si="25"/>
        <v>44504</v>
      </c>
      <c r="V559" s="6"/>
      <c r="W559" s="580">
        <v>509204</v>
      </c>
      <c r="X559" s="581"/>
      <c r="Y559" s="44">
        <v>3.0000000000000001E-3</v>
      </c>
      <c r="Z559" s="581"/>
      <c r="AA559" s="582">
        <f t="shared" si="28"/>
        <v>-77618</v>
      </c>
      <c r="AB559" s="581"/>
      <c r="AC559" s="583"/>
      <c r="AD559" s="251"/>
    </row>
    <row r="560" spans="15:30" x14ac:dyDescent="0.3">
      <c r="O560" s="98"/>
      <c r="T560" s="250"/>
      <c r="U560" s="252">
        <f t="shared" si="25"/>
        <v>44505</v>
      </c>
      <c r="V560" s="6"/>
      <c r="W560" s="580">
        <v>515364</v>
      </c>
      <c r="X560" s="581"/>
      <c r="Y560" s="44">
        <v>3.0000000000000001E-3</v>
      </c>
      <c r="Z560" s="581"/>
      <c r="AA560" s="582">
        <f t="shared" si="28"/>
        <v>-6160</v>
      </c>
      <c r="AB560" s="581"/>
      <c r="AC560" s="583"/>
      <c r="AD560" s="251"/>
    </row>
    <row r="561" spans="15:30" x14ac:dyDescent="0.3">
      <c r="O561" s="98"/>
      <c r="T561" s="250"/>
      <c r="U561" s="252">
        <f t="shared" si="25"/>
        <v>44506</v>
      </c>
      <c r="V561" s="6"/>
      <c r="W561" s="580">
        <v>547654</v>
      </c>
      <c r="X561" s="581"/>
      <c r="Y561" s="44">
        <v>3.0000000000000001E-3</v>
      </c>
      <c r="Z561" s="581"/>
      <c r="AA561" s="582">
        <f t="shared" si="28"/>
        <v>-32290</v>
      </c>
      <c r="AB561" s="581"/>
      <c r="AC561" s="583"/>
      <c r="AD561" s="251"/>
    </row>
    <row r="562" spans="15:30" x14ac:dyDescent="0.3">
      <c r="O562" s="98"/>
      <c r="T562" s="250"/>
      <c r="U562" s="573">
        <f t="shared" si="25"/>
        <v>44507</v>
      </c>
      <c r="V562" s="6"/>
      <c r="W562" s="580">
        <v>490231</v>
      </c>
      <c r="X562" s="581"/>
      <c r="Y562" s="44">
        <v>3.0000000000000001E-3</v>
      </c>
      <c r="Z562" s="581"/>
      <c r="AA562" s="582">
        <f t="shared" si="28"/>
        <v>57423</v>
      </c>
      <c r="AB562" s="581"/>
      <c r="AC562" s="583"/>
      <c r="AD562" s="251"/>
    </row>
    <row r="563" spans="15:30" x14ac:dyDescent="0.3">
      <c r="O563" s="98"/>
      <c r="T563" s="250"/>
      <c r="U563" s="252">
        <f t="shared" si="25"/>
        <v>44508</v>
      </c>
      <c r="V563" s="6"/>
      <c r="W563" s="580">
        <v>514258</v>
      </c>
      <c r="X563" s="581"/>
      <c r="Y563" s="44">
        <v>3.0000000000000001E-3</v>
      </c>
      <c r="Z563" s="581"/>
      <c r="AA563" s="582">
        <f t="shared" si="28"/>
        <v>-24027</v>
      </c>
      <c r="AB563" s="581"/>
      <c r="AC563" s="583"/>
      <c r="AD563" s="251"/>
    </row>
    <row r="564" spans="15:30" x14ac:dyDescent="0.3">
      <c r="O564" s="98"/>
      <c r="T564" s="250"/>
      <c r="U564" s="252">
        <f t="shared" si="25"/>
        <v>44509</v>
      </c>
      <c r="V564" s="6"/>
      <c r="W564" s="580">
        <v>586596</v>
      </c>
      <c r="X564" s="581"/>
      <c r="Y564" s="44">
        <v>3.0000000000000001E-3</v>
      </c>
      <c r="Z564" s="581"/>
      <c r="AA564" s="582">
        <f t="shared" ref="AA564:AA569" si="29">+W563-W564</f>
        <v>-72338</v>
      </c>
      <c r="AB564" s="581"/>
      <c r="AC564" s="583"/>
      <c r="AD564" s="251"/>
    </row>
    <row r="565" spans="15:30" x14ac:dyDescent="0.3">
      <c r="O565" s="98"/>
      <c r="T565" s="250"/>
      <c r="U565" s="252">
        <f t="shared" si="25"/>
        <v>44510</v>
      </c>
      <c r="V565" s="6"/>
      <c r="W565" s="580">
        <v>661221</v>
      </c>
      <c r="X565" s="581"/>
      <c r="Y565" s="44">
        <v>3.0000000000000001E-3</v>
      </c>
      <c r="Z565" s="581"/>
      <c r="AA565" s="582">
        <f t="shared" si="29"/>
        <v>-74625</v>
      </c>
      <c r="AB565" s="581"/>
      <c r="AC565" s="583"/>
      <c r="AD565" s="251"/>
    </row>
    <row r="566" spans="15:30" x14ac:dyDescent="0.3">
      <c r="O566" s="98"/>
      <c r="T566" s="250"/>
      <c r="U566" s="252">
        <f t="shared" si="25"/>
        <v>44511</v>
      </c>
      <c r="V566" s="6"/>
      <c r="W566" s="580">
        <v>650175</v>
      </c>
      <c r="X566" s="581"/>
      <c r="Y566" s="44">
        <v>3.0000000000000001E-3</v>
      </c>
      <c r="Z566" s="581"/>
      <c r="AA566" s="582">
        <f t="shared" si="29"/>
        <v>11046</v>
      </c>
      <c r="AB566" s="581"/>
      <c r="AC566" s="583"/>
      <c r="AD566" s="251"/>
    </row>
    <row r="567" spans="15:30" x14ac:dyDescent="0.3">
      <c r="O567" s="98"/>
      <c r="T567" s="250"/>
      <c r="U567" s="252">
        <f t="shared" si="25"/>
        <v>44512</v>
      </c>
      <c r="V567" s="6"/>
      <c r="W567" s="580">
        <v>663795</v>
      </c>
      <c r="X567" s="581"/>
      <c r="Y567" s="44">
        <v>3.0000000000000001E-3</v>
      </c>
      <c r="Z567" s="581"/>
      <c r="AA567" s="582">
        <f t="shared" si="29"/>
        <v>-13620</v>
      </c>
      <c r="AB567" s="581"/>
      <c r="AC567" s="583"/>
      <c r="AD567" s="251"/>
    </row>
    <row r="568" spans="15:30" x14ac:dyDescent="0.3">
      <c r="O568" s="98"/>
      <c r="T568" s="250"/>
      <c r="U568" s="252">
        <f t="shared" si="25"/>
        <v>44513</v>
      </c>
      <c r="V568" s="6"/>
      <c r="W568" s="580">
        <v>629324</v>
      </c>
      <c r="X568" s="581"/>
      <c r="Y568" s="44">
        <v>3.0000000000000001E-3</v>
      </c>
      <c r="Z568" s="581"/>
      <c r="AA568" s="582">
        <f t="shared" si="29"/>
        <v>34471</v>
      </c>
      <c r="AB568" s="581"/>
      <c r="AC568" s="583"/>
      <c r="AD568" s="251"/>
    </row>
    <row r="569" spans="15:30" x14ac:dyDescent="0.3">
      <c r="O569" s="98"/>
      <c r="T569" s="250"/>
      <c r="U569" s="573">
        <f t="shared" si="25"/>
        <v>44514</v>
      </c>
      <c r="V569" s="6"/>
      <c r="W569" s="580">
        <v>584931</v>
      </c>
      <c r="X569" s="581"/>
      <c r="Y569" s="44">
        <v>3.0000000000000001E-3</v>
      </c>
      <c r="Z569" s="581"/>
      <c r="AA569" s="582">
        <f t="shared" si="29"/>
        <v>44393</v>
      </c>
      <c r="AB569" s="581"/>
      <c r="AC569" s="583"/>
      <c r="AD569" s="251"/>
    </row>
    <row r="570" spans="15:30" x14ac:dyDescent="0.3">
      <c r="O570" s="98"/>
      <c r="T570" s="250"/>
      <c r="U570" s="252">
        <f t="shared" si="25"/>
        <v>44515</v>
      </c>
      <c r="V570" s="6"/>
      <c r="W570" s="580">
        <v>570901</v>
      </c>
      <c r="X570" s="581"/>
      <c r="Y570" s="44">
        <v>3.0000000000000001E-3</v>
      </c>
      <c r="Z570" s="581"/>
      <c r="AA570" s="582">
        <f t="shared" ref="AA570:AA601" si="30">+W569-W570</f>
        <v>14030</v>
      </c>
      <c r="AB570" s="581"/>
      <c r="AC570" s="583"/>
      <c r="AD570" s="251"/>
    </row>
    <row r="571" spans="15:30" x14ac:dyDescent="0.3">
      <c r="O571" s="98"/>
      <c r="T571" s="250"/>
      <c r="U571" s="252">
        <f t="shared" si="25"/>
        <v>44516</v>
      </c>
      <c r="V571" s="6"/>
      <c r="W571" s="580">
        <v>636193</v>
      </c>
      <c r="X571" s="581"/>
      <c r="Y571" s="44">
        <v>3.0000000000000001E-3</v>
      </c>
      <c r="Z571" s="581"/>
      <c r="AA571" s="582">
        <f t="shared" si="30"/>
        <v>-65292</v>
      </c>
      <c r="AB571" s="581"/>
      <c r="AC571" s="583"/>
      <c r="AD571" s="251"/>
    </row>
    <row r="572" spans="15:30" x14ac:dyDescent="0.3">
      <c r="O572" s="98"/>
      <c r="T572" s="250"/>
      <c r="U572" s="252">
        <f t="shared" si="25"/>
        <v>44517</v>
      </c>
      <c r="V572" s="6"/>
      <c r="W572" s="580">
        <v>717874</v>
      </c>
      <c r="X572" s="581"/>
      <c r="Y572" s="44">
        <v>3.0000000000000001E-3</v>
      </c>
      <c r="Z572" s="581"/>
      <c r="AA572" s="582">
        <f t="shared" si="30"/>
        <v>-81681</v>
      </c>
      <c r="AB572" s="581"/>
      <c r="AC572" s="583"/>
      <c r="AD572" s="251"/>
    </row>
    <row r="573" spans="15:30" x14ac:dyDescent="0.3">
      <c r="O573" s="98"/>
      <c r="T573" s="250"/>
      <c r="U573" s="252">
        <f t="shared" si="25"/>
        <v>44518</v>
      </c>
      <c r="V573" s="6"/>
      <c r="W573" s="580">
        <v>762170</v>
      </c>
      <c r="X573" s="581"/>
      <c r="Y573" s="44">
        <v>3.0000000000000001E-3</v>
      </c>
      <c r="Z573" s="581"/>
      <c r="AA573" s="582">
        <f t="shared" si="30"/>
        <v>-44296</v>
      </c>
      <c r="AB573" s="581"/>
      <c r="AC573" s="583"/>
      <c r="AD573" s="251"/>
    </row>
    <row r="574" spans="15:30" x14ac:dyDescent="0.3">
      <c r="O574" s="98"/>
      <c r="T574" s="250"/>
      <c r="U574" s="252">
        <f t="shared" si="25"/>
        <v>44519</v>
      </c>
      <c r="V574" s="6"/>
      <c r="W574" s="580">
        <v>801855</v>
      </c>
      <c r="X574" s="581"/>
      <c r="Y574" s="44">
        <v>3.0000000000000001E-3</v>
      </c>
      <c r="Z574" s="581"/>
      <c r="AA574" s="582">
        <f t="shared" si="30"/>
        <v>-39685</v>
      </c>
      <c r="AB574" s="581"/>
      <c r="AC574" s="583"/>
      <c r="AD574" s="251"/>
    </row>
    <row r="575" spans="15:30" x14ac:dyDescent="0.3">
      <c r="O575" s="98"/>
      <c r="T575" s="250"/>
      <c r="U575" s="252">
        <f t="shared" si="25"/>
        <v>44520</v>
      </c>
      <c r="V575" s="6"/>
      <c r="W575" s="580">
        <v>744169</v>
      </c>
      <c r="X575" s="581"/>
      <c r="Y575" s="44">
        <v>3.0000000000000001E-3</v>
      </c>
      <c r="Z575" s="581"/>
      <c r="AA575" s="582">
        <f t="shared" si="30"/>
        <v>57686</v>
      </c>
      <c r="AB575" s="581"/>
      <c r="AC575" s="583"/>
      <c r="AD575" s="251"/>
    </row>
    <row r="576" spans="15:30" x14ac:dyDescent="0.3">
      <c r="O576" s="98"/>
      <c r="T576" s="250"/>
      <c r="U576" s="573">
        <f t="shared" si="25"/>
        <v>44521</v>
      </c>
      <c r="V576" s="6"/>
      <c r="W576" s="580">
        <v>737712</v>
      </c>
      <c r="X576" s="581"/>
      <c r="Y576" s="44">
        <v>3.0000000000000001E-3</v>
      </c>
      <c r="Z576" s="581"/>
      <c r="AA576" s="582">
        <f t="shared" si="30"/>
        <v>6457</v>
      </c>
      <c r="AB576" s="581"/>
      <c r="AC576" s="583"/>
      <c r="AD576" s="251"/>
    </row>
    <row r="577" spans="15:30" x14ac:dyDescent="0.3">
      <c r="O577" s="98"/>
      <c r="T577" s="250"/>
      <c r="U577" s="252">
        <f t="shared" si="25"/>
        <v>44522</v>
      </c>
      <c r="V577" s="6"/>
      <c r="W577" s="580">
        <v>721821</v>
      </c>
      <c r="X577" s="581"/>
      <c r="Y577" s="44">
        <v>3.0000000000000001E-3</v>
      </c>
      <c r="Z577" s="581"/>
      <c r="AA577" s="582">
        <f t="shared" si="30"/>
        <v>15891</v>
      </c>
      <c r="AB577" s="581"/>
      <c r="AC577" s="583"/>
      <c r="AD577" s="251"/>
    </row>
    <row r="578" spans="15:30" x14ac:dyDescent="0.3">
      <c r="O578" s="98"/>
      <c r="T578" s="250"/>
      <c r="U578" s="252">
        <f t="shared" si="25"/>
        <v>44523</v>
      </c>
      <c r="V578" s="6"/>
      <c r="W578" s="580">
        <v>766972</v>
      </c>
      <c r="X578" s="581"/>
      <c r="Y578" s="44">
        <v>3.0000000000000001E-3</v>
      </c>
      <c r="Z578" s="581"/>
      <c r="AA578" s="582">
        <f t="shared" si="30"/>
        <v>-45151</v>
      </c>
      <c r="AB578" s="581"/>
      <c r="AC578" s="583"/>
      <c r="AD578" s="251"/>
    </row>
    <row r="579" spans="15:30" x14ac:dyDescent="0.3">
      <c r="O579" s="98"/>
      <c r="T579" s="250"/>
      <c r="U579" s="252">
        <f t="shared" si="25"/>
        <v>44524</v>
      </c>
      <c r="V579" s="6"/>
      <c r="W579" s="580">
        <v>835192</v>
      </c>
      <c r="X579" s="581"/>
      <c r="Y579" s="44">
        <v>3.0000000000000001E-3</v>
      </c>
      <c r="Z579" s="581"/>
      <c r="AA579" s="582">
        <f t="shared" si="30"/>
        <v>-68220</v>
      </c>
      <c r="AB579" s="581"/>
      <c r="AC579" s="583"/>
      <c r="AD579" s="251"/>
    </row>
    <row r="580" spans="15:30" x14ac:dyDescent="0.3">
      <c r="O580" s="98"/>
      <c r="T580" s="250"/>
      <c r="U580" s="252">
        <f t="shared" si="25"/>
        <v>44525</v>
      </c>
      <c r="V580" s="6"/>
      <c r="W580" s="580">
        <v>804689</v>
      </c>
      <c r="X580" s="581"/>
      <c r="Y580" s="44">
        <v>3.0000000000000001E-3</v>
      </c>
      <c r="Z580" s="581"/>
      <c r="AA580" s="582">
        <f t="shared" si="30"/>
        <v>30503</v>
      </c>
      <c r="AB580" s="581"/>
      <c r="AC580" s="583"/>
      <c r="AD580" s="251"/>
    </row>
    <row r="581" spans="15:30" x14ac:dyDescent="0.3">
      <c r="O581" s="98"/>
      <c r="T581" s="250"/>
      <c r="U581" s="252">
        <f t="shared" si="25"/>
        <v>44526</v>
      </c>
      <c r="V581" s="6"/>
      <c r="W581" s="580">
        <v>744792</v>
      </c>
      <c r="X581" s="581"/>
      <c r="Y581" s="44">
        <v>3.0000000000000001E-3</v>
      </c>
      <c r="Z581" s="581"/>
      <c r="AA581" s="582">
        <f t="shared" si="30"/>
        <v>59897</v>
      </c>
      <c r="AB581" s="581"/>
      <c r="AC581" s="583"/>
      <c r="AD581" s="251"/>
    </row>
    <row r="582" spans="15:30" x14ac:dyDescent="0.3">
      <c r="O582" s="98"/>
      <c r="T582" s="250"/>
      <c r="U582" s="252">
        <f t="shared" si="25"/>
        <v>44527</v>
      </c>
      <c r="V582" s="6"/>
      <c r="W582" s="580">
        <v>662832</v>
      </c>
      <c r="X582" s="581"/>
      <c r="Y582" s="44">
        <v>3.0000000000000001E-3</v>
      </c>
      <c r="Z582" s="581"/>
      <c r="AA582" s="582">
        <f t="shared" si="30"/>
        <v>81960</v>
      </c>
      <c r="AB582" s="581"/>
      <c r="AC582" s="583"/>
      <c r="AD582" s="251"/>
    </row>
    <row r="583" spans="15:30" x14ac:dyDescent="0.3">
      <c r="O583" s="98"/>
      <c r="T583" s="250"/>
      <c r="U583" s="573">
        <f t="shared" si="25"/>
        <v>44528</v>
      </c>
      <c r="V583" s="6"/>
      <c r="W583" s="580">
        <v>584622</v>
      </c>
      <c r="X583" s="581"/>
      <c r="Y583" s="44">
        <v>3.0000000000000001E-3</v>
      </c>
      <c r="Z583" s="581"/>
      <c r="AA583" s="582">
        <f t="shared" si="30"/>
        <v>78210</v>
      </c>
      <c r="AB583" s="581"/>
      <c r="AC583" s="583"/>
      <c r="AD583" s="251"/>
    </row>
    <row r="584" spans="15:30" x14ac:dyDescent="0.3">
      <c r="O584" s="98"/>
      <c r="T584" s="250"/>
      <c r="U584" s="252">
        <f>+U583+1</f>
        <v>44529</v>
      </c>
      <c r="V584" s="6"/>
      <c r="W584" s="580">
        <v>580331</v>
      </c>
      <c r="X584" s="581"/>
      <c r="Y584" s="44">
        <v>3.0000000000000001E-3</v>
      </c>
      <c r="Z584" s="581"/>
      <c r="AA584" s="582">
        <f t="shared" si="30"/>
        <v>4291</v>
      </c>
      <c r="AB584" s="581"/>
      <c r="AC584" s="583"/>
      <c r="AD584" s="251"/>
    </row>
    <row r="585" spans="15:30" x14ac:dyDescent="0.3">
      <c r="O585" s="98"/>
      <c r="T585" s="250"/>
      <c r="U585" s="252">
        <f t="shared" ref="U585:U646" si="31">+U584+1</f>
        <v>44530</v>
      </c>
      <c r="V585" s="6"/>
      <c r="W585" s="580">
        <v>664156</v>
      </c>
      <c r="X585" s="581"/>
      <c r="Y585" s="44">
        <v>3.0000000000000001E-3</v>
      </c>
      <c r="Z585" s="581"/>
      <c r="AA585" s="582">
        <f t="shared" si="30"/>
        <v>-83825</v>
      </c>
      <c r="AB585" s="581"/>
      <c r="AC585" s="583"/>
      <c r="AD585" s="251"/>
    </row>
    <row r="586" spans="15:30" x14ac:dyDescent="0.3">
      <c r="O586" s="98"/>
      <c r="T586" s="250"/>
      <c r="U586" s="252">
        <f t="shared" si="31"/>
        <v>44531</v>
      </c>
      <c r="V586" s="6"/>
      <c r="W586" s="580">
        <v>758570</v>
      </c>
      <c r="X586" s="581"/>
      <c r="Y586" s="44">
        <v>3.0000000000000001E-3</v>
      </c>
      <c r="Z586" s="581"/>
      <c r="AA586" s="582">
        <f t="shared" si="30"/>
        <v>-94414</v>
      </c>
      <c r="AB586" s="581"/>
      <c r="AC586" s="583"/>
      <c r="AD586" s="251"/>
    </row>
    <row r="587" spans="15:30" x14ac:dyDescent="0.3">
      <c r="O587" s="98"/>
      <c r="T587" s="250"/>
      <c r="U587" s="252">
        <f t="shared" si="31"/>
        <v>44532</v>
      </c>
      <c r="V587" s="6"/>
      <c r="W587" s="580">
        <v>831158</v>
      </c>
      <c r="X587" s="581"/>
      <c r="Y587" s="44">
        <v>3.0000000000000001E-3</v>
      </c>
      <c r="Z587" s="581"/>
      <c r="AA587" s="582">
        <f t="shared" si="30"/>
        <v>-72588</v>
      </c>
      <c r="AB587" s="581"/>
      <c r="AC587" s="583"/>
      <c r="AD587" s="251"/>
    </row>
    <row r="588" spans="15:30" x14ac:dyDescent="0.3">
      <c r="O588" s="98"/>
      <c r="T588" s="250"/>
      <c r="U588" s="252">
        <f t="shared" si="31"/>
        <v>44533</v>
      </c>
      <c r="V588" s="6"/>
      <c r="W588" s="580">
        <v>892815</v>
      </c>
      <c r="X588" s="581"/>
      <c r="Y588" s="44">
        <v>3.0000000000000001E-3</v>
      </c>
      <c r="Z588" s="581"/>
      <c r="AA588" s="582">
        <f t="shared" si="30"/>
        <v>-61657</v>
      </c>
      <c r="AB588" s="581"/>
      <c r="AC588" s="583"/>
      <c r="AD588" s="251"/>
    </row>
    <row r="589" spans="15:30" x14ac:dyDescent="0.3">
      <c r="O589" s="98"/>
      <c r="T589" s="250"/>
      <c r="U589" s="252">
        <f t="shared" si="31"/>
        <v>44534</v>
      </c>
      <c r="V589" s="6"/>
      <c r="W589" s="580">
        <v>844749</v>
      </c>
      <c r="X589" s="581"/>
      <c r="Y589" s="44">
        <v>3.0000000000000001E-3</v>
      </c>
      <c r="Z589" s="581"/>
      <c r="AA589" s="582">
        <f t="shared" si="30"/>
        <v>48066</v>
      </c>
      <c r="AB589" s="581"/>
      <c r="AC589" s="583"/>
      <c r="AD589" s="251"/>
    </row>
    <row r="590" spans="15:30" x14ac:dyDescent="0.3">
      <c r="O590" s="98"/>
      <c r="T590" s="250"/>
      <c r="U590" s="573">
        <f t="shared" si="31"/>
        <v>44535</v>
      </c>
      <c r="V590" s="6"/>
      <c r="W590" s="580">
        <v>839561</v>
      </c>
      <c r="X590" s="581"/>
      <c r="Y590" s="44">
        <v>3.0000000000000001E-3</v>
      </c>
      <c r="Z590" s="581"/>
      <c r="AA590" s="582">
        <f t="shared" si="30"/>
        <v>5188</v>
      </c>
      <c r="AB590" s="581"/>
      <c r="AC590" s="583"/>
      <c r="AD590" s="251"/>
    </row>
    <row r="591" spans="15:30" x14ac:dyDescent="0.3">
      <c r="O591" s="98"/>
      <c r="T591" s="250"/>
      <c r="U591" s="252">
        <f t="shared" si="31"/>
        <v>44536</v>
      </c>
      <c r="V591" s="6"/>
      <c r="W591" s="580">
        <v>894056</v>
      </c>
      <c r="X591" s="581"/>
      <c r="Y591" s="44">
        <v>3.0000000000000001E-3</v>
      </c>
      <c r="Z591" s="581"/>
      <c r="AA591" s="582">
        <f t="shared" si="30"/>
        <v>-54495</v>
      </c>
      <c r="AB591" s="581"/>
      <c r="AC591" s="583"/>
      <c r="AD591" s="251"/>
    </row>
    <row r="592" spans="15:30" x14ac:dyDescent="0.3">
      <c r="O592" s="98"/>
      <c r="T592" s="250"/>
      <c r="U592" s="252">
        <f t="shared" si="31"/>
        <v>44537</v>
      </c>
      <c r="V592" s="6"/>
      <c r="W592" s="580">
        <v>979466</v>
      </c>
      <c r="X592" s="581"/>
      <c r="Y592" s="44">
        <v>3.0000000000000001E-3</v>
      </c>
      <c r="Z592" s="581"/>
      <c r="AA592" s="582">
        <f t="shared" si="30"/>
        <v>-85410</v>
      </c>
      <c r="AB592" s="581"/>
      <c r="AC592" s="583"/>
      <c r="AD592" s="251"/>
    </row>
    <row r="593" spans="15:30" x14ac:dyDescent="0.3">
      <c r="O593" s="98"/>
      <c r="T593" s="250"/>
      <c r="U593" s="252">
        <f t="shared" si="31"/>
        <v>44538</v>
      </c>
      <c r="V593" s="6"/>
      <c r="W593" s="580">
        <v>1086138</v>
      </c>
      <c r="X593" s="581"/>
      <c r="Y593" s="44">
        <v>3.0000000000000001E-3</v>
      </c>
      <c r="Z593" s="581"/>
      <c r="AA593" s="582">
        <f t="shared" si="30"/>
        <v>-106672</v>
      </c>
      <c r="AB593" s="581"/>
      <c r="AC593" s="583"/>
      <c r="AD593" s="251"/>
    </row>
    <row r="594" spans="15:30" x14ac:dyDescent="0.3">
      <c r="O594" s="98"/>
      <c r="T594" s="250"/>
      <c r="U594" s="252">
        <f t="shared" si="31"/>
        <v>44539</v>
      </c>
      <c r="V594" s="6"/>
      <c r="W594" s="580">
        <v>1090330</v>
      </c>
      <c r="X594" s="581"/>
      <c r="Y594" s="44">
        <v>3.0000000000000001E-3</v>
      </c>
      <c r="Z594" s="581"/>
      <c r="AA594" s="582">
        <f t="shared" si="30"/>
        <v>-4192</v>
      </c>
      <c r="AB594" s="581"/>
      <c r="AC594" s="583"/>
      <c r="AD594" s="251"/>
    </row>
    <row r="595" spans="15:30" x14ac:dyDescent="0.3">
      <c r="O595" s="98"/>
      <c r="T595" s="250"/>
      <c r="U595" s="252">
        <f t="shared" si="31"/>
        <v>44540</v>
      </c>
      <c r="V595" s="6"/>
      <c r="W595" s="580">
        <v>1106903</v>
      </c>
      <c r="X595" s="581"/>
      <c r="Y595" s="44">
        <v>3.0000000000000001E-3</v>
      </c>
      <c r="Z595" s="581"/>
      <c r="AA595" s="582">
        <f t="shared" si="30"/>
        <v>-16573</v>
      </c>
      <c r="AB595" s="581"/>
      <c r="AC595" s="583"/>
      <c r="AD595" s="251"/>
    </row>
    <row r="596" spans="15:30" x14ac:dyDescent="0.3">
      <c r="O596" s="98"/>
      <c r="T596" s="250"/>
      <c r="U596" s="252">
        <f t="shared" si="31"/>
        <v>44541</v>
      </c>
      <c r="V596" s="6"/>
      <c r="W596" s="580">
        <v>1032953</v>
      </c>
      <c r="X596" s="581"/>
      <c r="Y596" s="44">
        <v>3.0000000000000001E-3</v>
      </c>
      <c r="Z596" s="581"/>
      <c r="AA596" s="582">
        <f t="shared" si="30"/>
        <v>73950</v>
      </c>
      <c r="AB596" s="581"/>
      <c r="AC596" s="583"/>
      <c r="AD596" s="251"/>
    </row>
    <row r="597" spans="15:30" x14ac:dyDescent="0.3">
      <c r="O597" s="98"/>
      <c r="T597" s="250"/>
      <c r="U597" s="573">
        <f t="shared" si="31"/>
        <v>44542</v>
      </c>
      <c r="V597" s="6"/>
      <c r="W597" s="580">
        <v>925191</v>
      </c>
      <c r="X597" s="581"/>
      <c r="Y597" s="44">
        <v>3.0000000000000001E-3</v>
      </c>
      <c r="Z597" s="581"/>
      <c r="AA597" s="582">
        <f t="shared" si="30"/>
        <v>107762</v>
      </c>
      <c r="AB597" s="581"/>
      <c r="AC597" s="583"/>
      <c r="AD597" s="251"/>
    </row>
    <row r="598" spans="15:30" x14ac:dyDescent="0.3">
      <c r="O598" s="98"/>
      <c r="T598" s="250"/>
      <c r="U598" s="252">
        <f t="shared" si="31"/>
        <v>44543</v>
      </c>
      <c r="V598" s="6"/>
      <c r="W598" s="580">
        <v>873399</v>
      </c>
      <c r="X598" s="581"/>
      <c r="Y598" s="44">
        <v>3.0000000000000001E-3</v>
      </c>
      <c r="Z598" s="581"/>
      <c r="AA598" s="582">
        <f t="shared" si="30"/>
        <v>51792</v>
      </c>
      <c r="AB598" s="581"/>
      <c r="AC598" s="583"/>
      <c r="AD598" s="251"/>
    </row>
    <row r="599" spans="15:30" x14ac:dyDescent="0.3">
      <c r="O599" s="98"/>
      <c r="T599" s="250"/>
      <c r="U599" s="252">
        <f t="shared" si="31"/>
        <v>44544</v>
      </c>
      <c r="V599" s="6"/>
      <c r="W599" s="580">
        <v>900000</v>
      </c>
      <c r="X599" s="581"/>
      <c r="Y599" s="44">
        <v>3.0000000000000001E-3</v>
      </c>
      <c r="Z599" s="581"/>
      <c r="AA599" s="582">
        <f t="shared" si="30"/>
        <v>-26601</v>
      </c>
      <c r="AB599" s="581"/>
      <c r="AC599" s="583"/>
      <c r="AD599" s="251"/>
    </row>
    <row r="600" spans="15:30" x14ac:dyDescent="0.3">
      <c r="O600" s="98"/>
      <c r="T600" s="250"/>
      <c r="U600" s="252">
        <f t="shared" si="31"/>
        <v>44545</v>
      </c>
      <c r="V600" s="6"/>
      <c r="W600" s="580">
        <v>1027004</v>
      </c>
      <c r="X600" s="581"/>
      <c r="Y600" s="44">
        <v>3.0000000000000001E-3</v>
      </c>
      <c r="Z600" s="581"/>
      <c r="AA600" s="582">
        <f t="shared" si="30"/>
        <v>-127004</v>
      </c>
      <c r="AB600" s="581"/>
      <c r="AC600" s="583"/>
      <c r="AD600" s="251"/>
    </row>
    <row r="601" spans="15:30" x14ac:dyDescent="0.3">
      <c r="O601" s="98"/>
      <c r="T601" s="250"/>
      <c r="U601" s="252">
        <f t="shared" si="31"/>
        <v>44546</v>
      </c>
      <c r="V601" s="6"/>
      <c r="W601" s="580">
        <v>1090806</v>
      </c>
      <c r="X601" s="581"/>
      <c r="Y601" s="44">
        <v>3.0000000000000001E-3</v>
      </c>
      <c r="Z601" s="581"/>
      <c r="AA601" s="582">
        <f t="shared" si="30"/>
        <v>-63802</v>
      </c>
      <c r="AB601" s="581"/>
      <c r="AC601" s="583"/>
      <c r="AD601" s="251"/>
    </row>
    <row r="602" spans="15:30" x14ac:dyDescent="0.3">
      <c r="O602" s="98"/>
      <c r="T602" s="250"/>
      <c r="U602" s="252">
        <f t="shared" si="31"/>
        <v>44547</v>
      </c>
      <c r="V602" s="6"/>
      <c r="W602" s="580">
        <v>1147014</v>
      </c>
      <c r="X602" s="581"/>
      <c r="Y602" s="44">
        <v>3.0000000000000001E-3</v>
      </c>
      <c r="Z602" s="581"/>
      <c r="AA602" s="582">
        <f t="shared" ref="AA602:AA632" si="32">+W601-W602</f>
        <v>-56208</v>
      </c>
      <c r="AB602" s="581"/>
      <c r="AC602" s="583"/>
      <c r="AD602" s="251"/>
    </row>
    <row r="603" spans="15:30" x14ac:dyDescent="0.3">
      <c r="O603" s="98"/>
      <c r="T603" s="250"/>
      <c r="U603" s="252">
        <f t="shared" si="31"/>
        <v>44548</v>
      </c>
      <c r="V603" s="6"/>
      <c r="W603" s="580">
        <v>1105581</v>
      </c>
      <c r="X603" s="581"/>
      <c r="Y603" s="44">
        <v>3.0000000000000001E-3</v>
      </c>
      <c r="Z603" s="581"/>
      <c r="AA603" s="582">
        <f t="shared" si="32"/>
        <v>41433</v>
      </c>
      <c r="AB603" s="581"/>
      <c r="AC603" s="583"/>
      <c r="AD603" s="251"/>
    </row>
    <row r="604" spans="15:30" x14ac:dyDescent="0.3">
      <c r="O604" s="98"/>
      <c r="T604" s="250"/>
      <c r="U604" s="573">
        <f t="shared" si="31"/>
        <v>44549</v>
      </c>
      <c r="V604" s="6"/>
      <c r="W604" s="580">
        <v>1061454</v>
      </c>
      <c r="X604" s="581"/>
      <c r="Y604" s="44">
        <v>3.0000000000000001E-3</v>
      </c>
      <c r="Z604" s="581"/>
      <c r="AA604" s="582">
        <f t="shared" si="32"/>
        <v>44127</v>
      </c>
      <c r="AB604" s="581"/>
      <c r="AC604" s="583"/>
      <c r="AD604" s="251"/>
    </row>
    <row r="605" spans="15:30" x14ac:dyDescent="0.3">
      <c r="O605" s="98"/>
      <c r="T605" s="250"/>
      <c r="U605" s="252">
        <f t="shared" si="31"/>
        <v>44550</v>
      </c>
      <c r="V605" s="6"/>
      <c r="W605" s="580">
        <v>1068234</v>
      </c>
      <c r="X605" s="581"/>
      <c r="Y605" s="44">
        <v>3.0000000000000001E-3</v>
      </c>
      <c r="Z605" s="581"/>
      <c r="AA605" s="582">
        <f t="shared" si="32"/>
        <v>-6780</v>
      </c>
      <c r="AB605" s="581"/>
      <c r="AC605" s="583"/>
      <c r="AD605" s="251"/>
    </row>
    <row r="606" spans="15:30" x14ac:dyDescent="0.3">
      <c r="O606" s="98"/>
      <c r="T606" s="250"/>
      <c r="U606" s="252">
        <f t="shared" si="31"/>
        <v>44551</v>
      </c>
      <c r="V606" s="6"/>
      <c r="W606" s="580">
        <v>1011092</v>
      </c>
      <c r="X606" s="581"/>
      <c r="Y606" s="44">
        <v>3.0000000000000001E-3</v>
      </c>
      <c r="Z606" s="581"/>
      <c r="AA606" s="582">
        <f t="shared" si="32"/>
        <v>57142</v>
      </c>
      <c r="AB606" s="581"/>
      <c r="AC606" s="583"/>
      <c r="AD606" s="251"/>
    </row>
    <row r="607" spans="15:30" x14ac:dyDescent="0.3">
      <c r="O607" s="98"/>
      <c r="T607" s="250"/>
      <c r="U607" s="252">
        <f t="shared" si="31"/>
        <v>44552</v>
      </c>
      <c r="V607" s="6"/>
      <c r="W607" s="580">
        <v>1398003</v>
      </c>
      <c r="X607" s="581"/>
      <c r="Y607" s="44">
        <v>3.0000000000000001E-3</v>
      </c>
      <c r="Z607" s="581"/>
      <c r="AA607" s="582">
        <f t="shared" si="32"/>
        <v>-386911</v>
      </c>
      <c r="AB607" s="581"/>
      <c r="AC607" s="583"/>
      <c r="AD607" s="251"/>
    </row>
    <row r="608" spans="15:30" x14ac:dyDescent="0.3">
      <c r="O608" s="98"/>
      <c r="T608" s="250"/>
      <c r="U608" s="252">
        <f t="shared" si="31"/>
        <v>44553</v>
      </c>
      <c r="V608" s="6"/>
      <c r="W608" s="580">
        <v>1569870</v>
      </c>
      <c r="X608" s="581"/>
      <c r="Y608" s="44">
        <v>3.0000000000000001E-3</v>
      </c>
      <c r="Z608" s="581"/>
      <c r="AA608" s="582">
        <f t="shared" si="32"/>
        <v>-171867</v>
      </c>
      <c r="AB608" s="581"/>
      <c r="AC608" s="583"/>
      <c r="AD608" s="251"/>
    </row>
    <row r="609" spans="15:30" x14ac:dyDescent="0.3">
      <c r="O609" s="98"/>
      <c r="T609" s="250"/>
      <c r="U609" s="252">
        <f t="shared" si="31"/>
        <v>44554</v>
      </c>
      <c r="V609" s="6"/>
      <c r="W609" s="580">
        <v>1677685</v>
      </c>
      <c r="X609" s="581"/>
      <c r="Y609" s="44">
        <v>3.0000000000000001E-3</v>
      </c>
      <c r="Z609" s="581"/>
      <c r="AA609" s="582">
        <f t="shared" si="32"/>
        <v>-107815</v>
      </c>
      <c r="AB609" s="581"/>
      <c r="AC609" s="583"/>
      <c r="AD609" s="251"/>
    </row>
    <row r="610" spans="15:30" x14ac:dyDescent="0.3">
      <c r="O610" s="98"/>
      <c r="T610" s="250"/>
      <c r="U610" s="252">
        <f t="shared" si="31"/>
        <v>44555</v>
      </c>
      <c r="V610" s="6"/>
      <c r="W610" s="580">
        <v>1662279</v>
      </c>
      <c r="X610" s="581"/>
      <c r="Y610" s="44">
        <v>3.0000000000000001E-3</v>
      </c>
      <c r="Z610" s="581"/>
      <c r="AA610" s="582">
        <f t="shared" si="32"/>
        <v>15406</v>
      </c>
      <c r="AB610" s="581"/>
      <c r="AC610" s="583"/>
      <c r="AD610" s="251"/>
    </row>
    <row r="611" spans="15:30" x14ac:dyDescent="0.3">
      <c r="O611" s="98"/>
      <c r="T611" s="250"/>
      <c r="U611" s="573">
        <f t="shared" si="31"/>
        <v>44556</v>
      </c>
      <c r="V611" s="6"/>
      <c r="W611" s="580">
        <v>1602963</v>
      </c>
      <c r="X611" s="581"/>
      <c r="Y611" s="44">
        <v>3.0000000000000001E-3</v>
      </c>
      <c r="Z611" s="581"/>
      <c r="AA611" s="582">
        <f t="shared" si="32"/>
        <v>59316</v>
      </c>
      <c r="AB611" s="581"/>
      <c r="AC611" s="583"/>
      <c r="AD611" s="251"/>
    </row>
    <row r="612" spans="15:30" x14ac:dyDescent="0.3">
      <c r="O612" s="98"/>
      <c r="T612" s="250"/>
      <c r="U612" s="252">
        <f t="shared" si="31"/>
        <v>44557</v>
      </c>
      <c r="V612" s="6"/>
      <c r="W612" s="580">
        <v>1668536</v>
      </c>
      <c r="X612" s="581"/>
      <c r="Y612" s="44">
        <v>3.0000000000000001E-3</v>
      </c>
      <c r="Z612" s="581"/>
      <c r="AA612" s="582">
        <f t="shared" si="32"/>
        <v>-65573</v>
      </c>
      <c r="AB612" s="581"/>
      <c r="AC612" s="583"/>
      <c r="AD612" s="251"/>
    </row>
    <row r="613" spans="15:30" x14ac:dyDescent="0.3">
      <c r="O613" s="98"/>
      <c r="T613" s="250"/>
      <c r="U613" s="252">
        <f t="shared" si="31"/>
        <v>44558</v>
      </c>
      <c r="V613" s="6"/>
      <c r="W613" s="580">
        <v>1897687</v>
      </c>
      <c r="X613" s="581"/>
      <c r="Y613" s="44">
        <v>3.0000000000000001E-3</v>
      </c>
      <c r="Z613" s="581"/>
      <c r="AA613" s="582">
        <f t="shared" si="32"/>
        <v>-229151</v>
      </c>
      <c r="AB613" s="581"/>
      <c r="AC613" s="583"/>
      <c r="AD613" s="251"/>
    </row>
    <row r="614" spans="15:30" x14ac:dyDescent="0.3">
      <c r="O614" s="98"/>
      <c r="T614" s="250"/>
      <c r="U614" s="252">
        <f t="shared" si="31"/>
        <v>44559</v>
      </c>
      <c r="V614" s="6"/>
      <c r="W614" s="580">
        <v>2306844</v>
      </c>
      <c r="X614" s="581"/>
      <c r="Y614" s="44">
        <v>3.0000000000000001E-3</v>
      </c>
      <c r="Z614" s="581"/>
      <c r="AA614" s="582">
        <f t="shared" si="32"/>
        <v>-409157</v>
      </c>
      <c r="AB614" s="581"/>
      <c r="AC614" s="583"/>
      <c r="AD614" s="251"/>
    </row>
    <row r="615" spans="15:30" x14ac:dyDescent="0.3">
      <c r="O615" s="98"/>
      <c r="T615" s="250"/>
      <c r="U615" s="252">
        <f t="shared" si="31"/>
        <v>44560</v>
      </c>
      <c r="V615" s="6"/>
      <c r="W615" s="580">
        <v>2735343</v>
      </c>
      <c r="X615" s="581"/>
      <c r="Y615" s="44">
        <v>3.0000000000000001E-3</v>
      </c>
      <c r="Z615" s="581"/>
      <c r="AA615" s="582">
        <f t="shared" si="32"/>
        <v>-428499</v>
      </c>
      <c r="AB615" s="581"/>
      <c r="AC615" s="583"/>
      <c r="AD615" s="251"/>
    </row>
    <row r="616" spans="15:30" x14ac:dyDescent="0.3">
      <c r="O616" s="98"/>
      <c r="T616" s="250"/>
      <c r="U616" s="252">
        <f t="shared" si="31"/>
        <v>44561</v>
      </c>
      <c r="V616" s="6"/>
      <c r="W616" s="580">
        <v>2986639</v>
      </c>
      <c r="X616" s="581"/>
      <c r="Y616" s="44">
        <v>3.0000000000000001E-3</v>
      </c>
      <c r="Z616" s="581"/>
      <c r="AA616" s="582">
        <f t="shared" si="32"/>
        <v>-251296</v>
      </c>
      <c r="AB616" s="581"/>
      <c r="AC616" s="583"/>
      <c r="AD616" s="251"/>
    </row>
    <row r="617" spans="15:30" x14ac:dyDescent="0.3">
      <c r="O617" s="98"/>
      <c r="T617" s="250"/>
      <c r="U617" s="252">
        <f t="shared" si="31"/>
        <v>44562</v>
      </c>
      <c r="V617" s="6"/>
      <c r="W617" s="580">
        <v>2915949</v>
      </c>
      <c r="X617" s="581"/>
      <c r="Y617" s="44">
        <v>3.0000000000000001E-3</v>
      </c>
      <c r="Z617" s="581"/>
      <c r="AA617" s="582">
        <f t="shared" si="32"/>
        <v>70690</v>
      </c>
      <c r="AB617" s="581"/>
      <c r="AC617" s="583"/>
      <c r="AD617" s="251"/>
    </row>
    <row r="618" spans="15:30" x14ac:dyDescent="0.3">
      <c r="O618" s="98"/>
      <c r="T618" s="250"/>
      <c r="U618" s="573">
        <f t="shared" si="31"/>
        <v>44563</v>
      </c>
      <c r="V618" s="6"/>
      <c r="W618" s="580">
        <v>2834088</v>
      </c>
      <c r="X618" s="581"/>
      <c r="Y618" s="44">
        <v>3.0000000000000001E-3</v>
      </c>
      <c r="Z618" s="581"/>
      <c r="AA618" s="582">
        <f t="shared" si="32"/>
        <v>81861</v>
      </c>
      <c r="AB618" s="581"/>
      <c r="AC618" s="583"/>
      <c r="AD618" s="251"/>
    </row>
    <row r="619" spans="15:30" x14ac:dyDescent="0.3">
      <c r="O619" s="98"/>
      <c r="T619" s="250"/>
      <c r="U619" s="252">
        <f t="shared" si="31"/>
        <v>44564</v>
      </c>
      <c r="V619" s="6"/>
      <c r="W619" s="580">
        <v>3133666</v>
      </c>
      <c r="X619" s="581"/>
      <c r="Y619" s="44">
        <v>3.0000000000000001E-3</v>
      </c>
      <c r="Z619" s="581"/>
      <c r="AA619" s="582">
        <f t="shared" si="32"/>
        <v>-299578</v>
      </c>
      <c r="AB619" s="581"/>
      <c r="AC619" s="583"/>
      <c r="AD619" s="251"/>
    </row>
    <row r="620" spans="15:30" x14ac:dyDescent="0.3">
      <c r="O620" s="98"/>
      <c r="T620" s="250"/>
      <c r="U620" s="252">
        <f t="shared" si="31"/>
        <v>44565</v>
      </c>
      <c r="V620" s="6"/>
      <c r="W620" s="580">
        <v>3609290</v>
      </c>
      <c r="X620" s="581"/>
      <c r="Y620" s="44">
        <v>3.0000000000000001E-3</v>
      </c>
      <c r="Z620" s="581"/>
      <c r="AA620" s="582">
        <f t="shared" si="32"/>
        <v>-475624</v>
      </c>
      <c r="AB620" s="581"/>
      <c r="AC620" s="583"/>
      <c r="AD620" s="251"/>
    </row>
    <row r="621" spans="15:30" x14ac:dyDescent="0.3">
      <c r="O621" s="98"/>
      <c r="T621" s="250"/>
      <c r="U621" s="252">
        <f t="shared" si="31"/>
        <v>44566</v>
      </c>
      <c r="V621" s="6"/>
      <c r="W621" s="580">
        <v>4218165</v>
      </c>
      <c r="X621" s="581"/>
      <c r="Y621" s="44">
        <v>3.0000000000000001E-3</v>
      </c>
      <c r="Z621" s="581"/>
      <c r="AA621" s="582">
        <f t="shared" si="32"/>
        <v>-608875</v>
      </c>
      <c r="AB621" s="581"/>
      <c r="AC621" s="583"/>
      <c r="AD621" s="251"/>
    </row>
    <row r="622" spans="15:30" x14ac:dyDescent="0.3">
      <c r="O622" s="98"/>
      <c r="T622" s="250"/>
      <c r="U622" s="252">
        <f t="shared" si="31"/>
        <v>44567</v>
      </c>
      <c r="V622" s="6"/>
      <c r="W622" s="580">
        <v>4741190</v>
      </c>
      <c r="X622" s="581"/>
      <c r="Y622" s="44">
        <v>3.0000000000000001E-3</v>
      </c>
      <c r="Z622" s="581"/>
      <c r="AA622" s="582">
        <f t="shared" si="32"/>
        <v>-523025</v>
      </c>
      <c r="AB622" s="581"/>
      <c r="AC622" s="583"/>
      <c r="AD622" s="251"/>
    </row>
    <row r="623" spans="15:30" x14ac:dyDescent="0.3">
      <c r="O623" s="98"/>
      <c r="T623" s="250"/>
      <c r="U623" s="252">
        <f t="shared" si="31"/>
        <v>44568</v>
      </c>
      <c r="V623" s="6"/>
      <c r="W623" s="580">
        <v>5276416</v>
      </c>
      <c r="X623" s="581"/>
      <c r="Y623" s="44">
        <v>3.0000000000000001E-3</v>
      </c>
      <c r="Z623" s="581"/>
      <c r="AA623" s="582">
        <f t="shared" si="32"/>
        <v>-535226</v>
      </c>
      <c r="AB623" s="581"/>
      <c r="AC623" s="583"/>
      <c r="AD623" s="251"/>
    </row>
    <row r="624" spans="15:30" x14ac:dyDescent="0.3">
      <c r="O624" s="98"/>
      <c r="T624" s="250"/>
      <c r="U624" s="252">
        <f t="shared" si="31"/>
        <v>44569</v>
      </c>
      <c r="V624" s="6"/>
      <c r="W624" s="580">
        <v>5269166</v>
      </c>
      <c r="X624" s="581"/>
      <c r="Y624" s="44">
        <v>3.0000000000000001E-3</v>
      </c>
      <c r="Z624" s="581"/>
      <c r="AA624" s="582">
        <f t="shared" si="32"/>
        <v>7250</v>
      </c>
      <c r="AB624" s="581"/>
      <c r="AC624" s="583"/>
      <c r="AD624" s="251"/>
    </row>
    <row r="625" spans="15:30" x14ac:dyDescent="0.3">
      <c r="O625" s="98"/>
      <c r="T625" s="250"/>
      <c r="U625" s="573">
        <f t="shared" si="31"/>
        <v>44570</v>
      </c>
      <c r="V625" s="6"/>
      <c r="W625" s="580">
        <v>5250089</v>
      </c>
      <c r="X625" s="581"/>
      <c r="Y625" s="44">
        <v>3.0000000000000001E-3</v>
      </c>
      <c r="Z625" s="581"/>
      <c r="AA625" s="582">
        <f t="shared" si="32"/>
        <v>19077</v>
      </c>
      <c r="AB625" s="581"/>
      <c r="AC625" s="583"/>
      <c r="AD625" s="251"/>
    </row>
    <row r="626" spans="15:30" x14ac:dyDescent="0.3">
      <c r="O626" s="98"/>
      <c r="T626" s="250"/>
      <c r="U626" s="252">
        <f t="shared" si="31"/>
        <v>44571</v>
      </c>
      <c r="V626" s="6"/>
      <c r="W626" s="580">
        <v>5498940</v>
      </c>
      <c r="X626" s="581"/>
      <c r="Y626" s="44">
        <v>3.0000000000000001E-3</v>
      </c>
      <c r="Z626" s="581"/>
      <c r="AA626" s="582">
        <f t="shared" si="32"/>
        <v>-248851</v>
      </c>
      <c r="AB626" s="581"/>
      <c r="AC626" s="583"/>
      <c r="AD626" s="251"/>
    </row>
    <row r="627" spans="15:30" x14ac:dyDescent="0.3">
      <c r="O627" s="98"/>
      <c r="T627" s="250"/>
      <c r="U627" s="252">
        <f t="shared" si="31"/>
        <v>44572</v>
      </c>
      <c r="V627" s="6"/>
      <c r="W627" s="580">
        <v>6011404</v>
      </c>
      <c r="X627" s="581"/>
      <c r="Y627" s="44">
        <v>3.0000000000000001E-3</v>
      </c>
      <c r="Z627" s="581"/>
      <c r="AA627" s="582">
        <f t="shared" si="32"/>
        <v>-512464</v>
      </c>
      <c r="AB627" s="581"/>
      <c r="AC627" s="583"/>
      <c r="AD627" s="251"/>
    </row>
    <row r="628" spans="15:30" x14ac:dyDescent="0.3">
      <c r="O628" s="98"/>
      <c r="T628" s="250"/>
      <c r="U628" s="252">
        <f t="shared" si="31"/>
        <v>44573</v>
      </c>
      <c r="V628" s="6"/>
      <c r="W628" s="580">
        <v>6699213</v>
      </c>
      <c r="X628" s="581"/>
      <c r="Y628" s="44">
        <v>3.0000000000000001E-3</v>
      </c>
      <c r="Z628" s="581"/>
      <c r="AA628" s="582">
        <f t="shared" si="32"/>
        <v>-687809</v>
      </c>
      <c r="AB628" s="581"/>
      <c r="AC628" s="583"/>
      <c r="AD628" s="251"/>
    </row>
    <row r="629" spans="15:30" x14ac:dyDescent="0.3">
      <c r="O629" s="98"/>
      <c r="T629" s="250"/>
      <c r="U629" s="252">
        <f t="shared" si="31"/>
        <v>44574</v>
      </c>
      <c r="V629" s="6"/>
      <c r="W629" s="580">
        <v>6990906</v>
      </c>
      <c r="X629" s="581"/>
      <c r="Y629" s="44">
        <v>3.0000000000000001E-3</v>
      </c>
      <c r="Z629" s="581"/>
      <c r="AA629" s="582">
        <f t="shared" si="32"/>
        <v>-291693</v>
      </c>
      <c r="AB629" s="581"/>
      <c r="AC629" s="583"/>
      <c r="AD629" s="251"/>
    </row>
    <row r="630" spans="15:30" x14ac:dyDescent="0.3">
      <c r="O630" s="98"/>
      <c r="T630" s="250"/>
      <c r="U630" s="252">
        <f t="shared" si="31"/>
        <v>44575</v>
      </c>
      <c r="V630" s="6"/>
      <c r="W630" s="580">
        <v>7222590</v>
      </c>
      <c r="X630" s="581"/>
      <c r="Y630" s="44">
        <v>3.0000000000000001E-3</v>
      </c>
      <c r="Z630" s="581"/>
      <c r="AA630" s="582">
        <f t="shared" si="32"/>
        <v>-231684</v>
      </c>
      <c r="AB630" s="581"/>
      <c r="AC630" s="583"/>
      <c r="AD630" s="251"/>
    </row>
    <row r="631" spans="15:30" x14ac:dyDescent="0.3">
      <c r="O631" s="98"/>
      <c r="T631" s="250"/>
      <c r="U631" s="252">
        <f t="shared" si="31"/>
        <v>44576</v>
      </c>
      <c r="V631" s="6"/>
      <c r="W631" s="580">
        <v>6922107</v>
      </c>
      <c r="X631" s="581"/>
      <c r="Y631" s="44">
        <v>3.0000000000000001E-3</v>
      </c>
      <c r="Z631" s="581"/>
      <c r="AA631" s="582">
        <f t="shared" si="32"/>
        <v>300483</v>
      </c>
      <c r="AB631" s="581"/>
      <c r="AC631" s="583"/>
      <c r="AD631" s="251"/>
    </row>
    <row r="632" spans="15:30" x14ac:dyDescent="0.3">
      <c r="O632" s="98"/>
      <c r="T632" s="250"/>
      <c r="U632" s="573">
        <f t="shared" si="31"/>
        <v>44577</v>
      </c>
      <c r="V632" s="6"/>
      <c r="W632" s="580">
        <v>6458675</v>
      </c>
      <c r="X632" s="581"/>
      <c r="Y632" s="44">
        <v>3.0000000000000001E-3</v>
      </c>
      <c r="Z632" s="581"/>
      <c r="AA632" s="582">
        <f t="shared" si="32"/>
        <v>463432</v>
      </c>
      <c r="AB632" s="581"/>
      <c r="AC632" s="583"/>
      <c r="AD632" s="251"/>
    </row>
    <row r="633" spans="15:30" x14ac:dyDescent="0.3">
      <c r="O633" s="98"/>
      <c r="T633" s="250"/>
      <c r="U633" s="252">
        <f t="shared" si="31"/>
        <v>44578</v>
      </c>
      <c r="V633" s="6"/>
      <c r="W633" s="580">
        <v>6183505</v>
      </c>
      <c r="X633" s="581"/>
      <c r="Y633" s="44">
        <v>3.0000000000000001E-3</v>
      </c>
      <c r="Z633" s="581"/>
      <c r="AA633" s="582">
        <f t="shared" ref="AA633" si="33">+W632-W633</f>
        <v>275170</v>
      </c>
      <c r="AB633" s="581"/>
      <c r="AC633" s="583"/>
      <c r="AD633" s="251"/>
    </row>
    <row r="634" spans="15:30" x14ac:dyDescent="0.3">
      <c r="O634" s="98"/>
      <c r="T634" s="250"/>
      <c r="U634" s="252">
        <f t="shared" si="31"/>
        <v>44579</v>
      </c>
      <c r="V634" s="6"/>
      <c r="W634" s="580">
        <v>6262265</v>
      </c>
      <c r="X634" s="581"/>
      <c r="Y634" s="44">
        <v>3.0000000000000001E-3</v>
      </c>
      <c r="Z634" s="581"/>
      <c r="AA634" s="582">
        <f t="shared" ref="AA634" si="34">+W633-W634</f>
        <v>-78760</v>
      </c>
      <c r="AB634" s="581"/>
      <c r="AC634" s="583"/>
      <c r="AD634" s="251"/>
    </row>
    <row r="635" spans="15:30" x14ac:dyDescent="0.3">
      <c r="O635" s="98"/>
      <c r="T635" s="250"/>
      <c r="U635" s="252">
        <f t="shared" si="31"/>
        <v>44580</v>
      </c>
      <c r="V635" s="6"/>
      <c r="W635" s="580">
        <v>6421119</v>
      </c>
      <c r="X635" s="581"/>
      <c r="Y635" s="44">
        <v>3.0000000000000001E-3</v>
      </c>
      <c r="Z635" s="581"/>
      <c r="AA635" s="582">
        <f t="shared" ref="AA635" si="35">+W634-W635</f>
        <v>-158854</v>
      </c>
      <c r="AB635" s="581"/>
      <c r="AC635" s="583"/>
      <c r="AD635" s="251"/>
    </row>
    <row r="636" spans="15:30" x14ac:dyDescent="0.3">
      <c r="O636" s="98"/>
      <c r="T636" s="250"/>
      <c r="U636" s="252">
        <f t="shared" si="31"/>
        <v>44581</v>
      </c>
      <c r="V636" s="6"/>
      <c r="W636" s="580">
        <v>6421488</v>
      </c>
      <c r="X636" s="581"/>
      <c r="Y636" s="44">
        <v>3.0000000000000001E-3</v>
      </c>
      <c r="Z636" s="581"/>
      <c r="AA636" s="582">
        <f t="shared" ref="AA636" si="36">+W635-W636</f>
        <v>-369</v>
      </c>
      <c r="AB636" s="581"/>
      <c r="AC636" s="583"/>
      <c r="AD636" s="251"/>
    </row>
    <row r="637" spans="15:30" x14ac:dyDescent="0.3">
      <c r="O637" s="98"/>
      <c r="T637" s="250"/>
      <c r="U637" s="252">
        <f t="shared" si="31"/>
        <v>44582</v>
      </c>
      <c r="V637" s="6"/>
      <c r="W637" s="580">
        <v>6549063</v>
      </c>
      <c r="X637" s="581"/>
      <c r="Y637" s="44">
        <v>3.0000000000000001E-3</v>
      </c>
      <c r="Z637" s="581"/>
      <c r="AA637" s="582">
        <f t="shared" ref="AA637" si="37">+W636-W637</f>
        <v>-127575</v>
      </c>
      <c r="AB637" s="581"/>
      <c r="AC637" s="583"/>
      <c r="AD637" s="251"/>
    </row>
    <row r="638" spans="15:30" x14ac:dyDescent="0.3">
      <c r="O638" s="98"/>
      <c r="T638" s="250"/>
      <c r="U638" s="252">
        <f t="shared" si="31"/>
        <v>44583</v>
      </c>
      <c r="V638" s="6"/>
      <c r="W638" s="580">
        <v>5988842</v>
      </c>
      <c r="X638" s="581"/>
      <c r="Y638" s="44">
        <v>3.0000000000000001E-3</v>
      </c>
      <c r="Z638" s="581"/>
      <c r="AA638" s="582">
        <f t="shared" ref="AA638:AA639" si="38">+W637-W638</f>
        <v>560221</v>
      </c>
      <c r="AB638" s="581"/>
      <c r="AC638" s="583"/>
      <c r="AD638" s="251"/>
    </row>
    <row r="639" spans="15:30" x14ac:dyDescent="0.3">
      <c r="O639" s="98"/>
      <c r="T639" s="250"/>
      <c r="U639" s="573">
        <f t="shared" si="31"/>
        <v>44584</v>
      </c>
      <c r="V639" s="6"/>
      <c r="W639" s="580">
        <v>4552034</v>
      </c>
      <c r="X639" s="581"/>
      <c r="Y639" s="44">
        <v>3.0000000000000001E-3</v>
      </c>
      <c r="Z639" s="581"/>
      <c r="AA639" s="582">
        <f t="shared" si="38"/>
        <v>1436808</v>
      </c>
      <c r="AB639" s="581"/>
      <c r="AC639" s="583"/>
      <c r="AD639" s="251"/>
    </row>
    <row r="640" spans="15:30" x14ac:dyDescent="0.3">
      <c r="O640" s="98"/>
      <c r="T640" s="250"/>
      <c r="U640" s="252">
        <f t="shared" si="31"/>
        <v>44585</v>
      </c>
      <c r="V640" s="6"/>
      <c r="W640" s="580">
        <v>5019439</v>
      </c>
      <c r="X640" s="581"/>
      <c r="Y640" s="44">
        <v>3.0000000000000001E-3</v>
      </c>
      <c r="Z640" s="581"/>
      <c r="AA640" s="582">
        <f t="shared" ref="AA640" si="39">+W639-W640</f>
        <v>-467405</v>
      </c>
      <c r="AB640" s="581"/>
      <c r="AC640" s="583"/>
      <c r="AD640" s="251"/>
    </row>
    <row r="641" spans="15:30" x14ac:dyDescent="0.3">
      <c r="O641" s="98"/>
      <c r="T641" s="250"/>
      <c r="U641" s="252">
        <f t="shared" si="31"/>
        <v>44586</v>
      </c>
      <c r="V641" s="6"/>
      <c r="W641" s="580">
        <v>5056085</v>
      </c>
      <c r="X641" s="581"/>
      <c r="Y641" s="44">
        <v>3.0000000000000001E-3</v>
      </c>
      <c r="Z641" s="581"/>
      <c r="AA641" s="582">
        <f t="shared" ref="AA641" si="40">+W640-W641</f>
        <v>-36646</v>
      </c>
      <c r="AB641" s="581"/>
      <c r="AC641" s="583"/>
      <c r="AD641" s="251"/>
    </row>
    <row r="642" spans="15:30" x14ac:dyDescent="0.3">
      <c r="O642" s="98"/>
      <c r="T642" s="250"/>
      <c r="U642" s="252">
        <f t="shared" si="31"/>
        <v>44587</v>
      </c>
      <c r="V642" s="6"/>
      <c r="W642" s="580">
        <v>5301242</v>
      </c>
      <c r="X642" s="581"/>
      <c r="Y642" s="44">
        <v>3.0000000000000001E-3</v>
      </c>
      <c r="Z642" s="581"/>
      <c r="AA642" s="582">
        <f t="shared" ref="AA642" si="41">+W641-W642</f>
        <v>-245157</v>
      </c>
      <c r="AB642" s="581"/>
      <c r="AC642" s="583"/>
      <c r="AD642" s="251"/>
    </row>
    <row r="643" spans="15:30" x14ac:dyDescent="0.3">
      <c r="O643" s="98"/>
      <c r="T643" s="250"/>
      <c r="U643" s="252">
        <f t="shared" si="31"/>
        <v>44588</v>
      </c>
      <c r="V643" s="6"/>
      <c r="W643" s="580">
        <v>5224619</v>
      </c>
      <c r="X643" s="581"/>
      <c r="Y643" s="44">
        <v>3.0000000000000001E-3</v>
      </c>
      <c r="Z643" s="581"/>
      <c r="AA643" s="582">
        <f t="shared" ref="AA643" si="42">+W642-W643</f>
        <v>76623</v>
      </c>
      <c r="AB643" s="581"/>
      <c r="AC643" s="583"/>
      <c r="AD643" s="251"/>
    </row>
    <row r="644" spans="15:30" x14ac:dyDescent="0.3">
      <c r="O644" s="98"/>
      <c r="T644" s="250"/>
      <c r="U644" s="252">
        <f t="shared" si="31"/>
        <v>44589</v>
      </c>
      <c r="V644" s="6"/>
      <c r="W644" s="580">
        <v>5199210</v>
      </c>
      <c r="X644" s="581"/>
      <c r="Y644" s="44">
        <v>3.0000000000000001E-3</v>
      </c>
      <c r="Z644" s="581"/>
      <c r="AA644" s="582">
        <f t="shared" ref="AA644" si="43">+W643-W644</f>
        <v>25409</v>
      </c>
      <c r="AB644" s="581"/>
      <c r="AC644" s="583"/>
      <c r="AD644" s="251"/>
    </row>
    <row r="645" spans="15:30" x14ac:dyDescent="0.3">
      <c r="O645" s="98"/>
      <c r="T645" s="250"/>
      <c r="U645" s="252">
        <f t="shared" si="31"/>
        <v>44590</v>
      </c>
      <c r="V645" s="6"/>
      <c r="W645" s="580">
        <v>4679871</v>
      </c>
      <c r="X645" s="581"/>
      <c r="Y645" s="44">
        <v>3.0000000000000001E-3</v>
      </c>
      <c r="Z645" s="581"/>
      <c r="AA645" s="582">
        <f t="shared" ref="AA645" si="44">+W644-W645</f>
        <v>519339</v>
      </c>
      <c r="AB645" s="581"/>
      <c r="AC645" s="583"/>
      <c r="AD645" s="251"/>
    </row>
    <row r="646" spans="15:30" x14ac:dyDescent="0.3">
      <c r="O646" s="98"/>
      <c r="T646" s="250"/>
      <c r="U646" s="573">
        <f t="shared" si="31"/>
        <v>44591</v>
      </c>
      <c r="V646" s="6"/>
      <c r="W646" s="580">
        <v>4144975</v>
      </c>
      <c r="X646" s="581"/>
      <c r="Y646" s="44">
        <v>3.0000000000000001E-3</v>
      </c>
      <c r="Z646" s="581"/>
      <c r="AA646" s="582">
        <f t="shared" ref="AA646" si="45">+W645-W646</f>
        <v>534896</v>
      </c>
      <c r="AB646" s="581"/>
      <c r="AC646" s="583"/>
      <c r="AD646" s="251"/>
    </row>
    <row r="647" spans="15:30" x14ac:dyDescent="0.3">
      <c r="O647" s="98"/>
      <c r="T647" s="250"/>
      <c r="U647" s="252">
        <f>+U646+1</f>
        <v>44592</v>
      </c>
      <c r="V647" s="6"/>
      <c r="W647" s="580">
        <v>3617899</v>
      </c>
      <c r="X647" s="581"/>
      <c r="Y647" s="44">
        <v>3.0000000000000001E-3</v>
      </c>
      <c r="Z647" s="581"/>
      <c r="AA647" s="582">
        <f t="shared" ref="AA647" si="46">+W646-W647</f>
        <v>527076</v>
      </c>
      <c r="AB647" s="581"/>
      <c r="AC647" s="583"/>
      <c r="AD647" s="251"/>
    </row>
    <row r="648" spans="15:30" x14ac:dyDescent="0.3">
      <c r="O648" s="98"/>
      <c r="T648" s="250"/>
      <c r="U648" s="252">
        <f t="shared" ref="U648:U723" si="47">+U647+1</f>
        <v>44593</v>
      </c>
      <c r="V648" s="6"/>
      <c r="W648" s="580">
        <v>3305059</v>
      </c>
      <c r="X648" s="581"/>
      <c r="Y648" s="44">
        <v>3.0000000000000001E-3</v>
      </c>
      <c r="Z648" s="581"/>
      <c r="AA648" s="582">
        <f t="shared" ref="AA648" si="48">+W647-W648</f>
        <v>312840</v>
      </c>
      <c r="AB648" s="581"/>
      <c r="AC648" s="583"/>
      <c r="AD648" s="251"/>
    </row>
    <row r="649" spans="15:30" x14ac:dyDescent="0.3">
      <c r="O649" s="98"/>
      <c r="T649" s="250"/>
      <c r="U649" s="252">
        <f t="shared" si="47"/>
        <v>44594</v>
      </c>
      <c r="V649" s="6"/>
      <c r="W649" s="580">
        <v>3711467</v>
      </c>
      <c r="X649" s="581"/>
      <c r="Y649" s="44">
        <v>3.0000000000000001E-3</v>
      </c>
      <c r="Z649" s="581"/>
      <c r="AA649" s="582">
        <f t="shared" ref="AA649" si="49">+W648-W649</f>
        <v>-406408</v>
      </c>
      <c r="AB649" s="581"/>
      <c r="AC649" s="583"/>
      <c r="AD649" s="251"/>
    </row>
    <row r="650" spans="15:30" x14ac:dyDescent="0.3">
      <c r="O650" s="98"/>
      <c r="T650" s="250"/>
      <c r="U650" s="252">
        <f t="shared" si="47"/>
        <v>44595</v>
      </c>
      <c r="V650" s="6"/>
      <c r="W650" s="580">
        <v>3501730</v>
      </c>
      <c r="X650" s="581"/>
      <c r="Y650" s="44">
        <v>3.0000000000000001E-3</v>
      </c>
      <c r="Z650" s="581"/>
      <c r="AA650" s="582">
        <f t="shared" ref="AA650" si="50">+W649-W650</f>
        <v>209737</v>
      </c>
      <c r="AB650" s="581"/>
      <c r="AC650" s="583"/>
      <c r="AD650" s="251"/>
    </row>
    <row r="651" spans="15:30" x14ac:dyDescent="0.3">
      <c r="O651" s="98"/>
      <c r="T651" s="250"/>
      <c r="U651" s="252">
        <f t="shared" si="47"/>
        <v>44596</v>
      </c>
      <c r="V651" s="6"/>
      <c r="W651" s="580">
        <v>3361310</v>
      </c>
      <c r="X651" s="581"/>
      <c r="Y651" s="44">
        <v>3.0000000000000001E-3</v>
      </c>
      <c r="Z651" s="581"/>
      <c r="AA651" s="582">
        <f t="shared" ref="AA651" si="51">+W650-W651</f>
        <v>140420</v>
      </c>
      <c r="AB651" s="581"/>
      <c r="AC651" s="583"/>
      <c r="AD651" s="251"/>
    </row>
    <row r="652" spans="15:30" x14ac:dyDescent="0.3">
      <c r="O652" s="98"/>
      <c r="T652" s="250"/>
      <c r="U652" s="252">
        <f t="shared" si="47"/>
        <v>44597</v>
      </c>
      <c r="V652" s="6"/>
      <c r="W652" s="580">
        <v>2932547</v>
      </c>
      <c r="X652" s="581"/>
      <c r="Y652" s="44">
        <v>3.0000000000000001E-3</v>
      </c>
      <c r="Z652" s="581"/>
      <c r="AA652" s="582">
        <f t="shared" ref="AA652" si="52">+W651-W652</f>
        <v>428763</v>
      </c>
      <c r="AB652" s="581"/>
      <c r="AC652" s="583"/>
      <c r="AD652" s="251"/>
    </row>
    <row r="653" spans="15:30" x14ac:dyDescent="0.3">
      <c r="O653" s="98"/>
      <c r="T653" s="250"/>
      <c r="U653" s="573">
        <f t="shared" si="47"/>
        <v>44598</v>
      </c>
      <c r="V653" s="6"/>
      <c r="W653" s="580">
        <v>2485470</v>
      </c>
      <c r="X653" s="581"/>
      <c r="Y653" s="44">
        <v>3.0000000000000001E-3</v>
      </c>
      <c r="Z653" s="581"/>
      <c r="AA653" s="582">
        <f t="shared" ref="AA653" si="53">+W652-W653</f>
        <v>447077</v>
      </c>
      <c r="AB653" s="581"/>
      <c r="AC653" s="583"/>
      <c r="AD653" s="251"/>
    </row>
    <row r="654" spans="15:30" x14ac:dyDescent="0.3">
      <c r="O654" s="98"/>
      <c r="T654" s="250"/>
      <c r="U654" s="252">
        <f t="shared" si="47"/>
        <v>44599</v>
      </c>
      <c r="V654" s="6"/>
      <c r="W654" s="580">
        <v>3136000</v>
      </c>
      <c r="X654" s="581"/>
      <c r="Y654" s="44">
        <v>3.0000000000000001E-3</v>
      </c>
      <c r="Z654" s="581"/>
      <c r="AA654" s="582">
        <f t="shared" ref="AA654" si="54">+W653-W654</f>
        <v>-650530</v>
      </c>
      <c r="AB654" s="581"/>
      <c r="AC654" s="583"/>
      <c r="AD654" s="251"/>
    </row>
    <row r="655" spans="15:30" x14ac:dyDescent="0.3">
      <c r="O655" s="98"/>
      <c r="T655" s="250"/>
      <c r="U655" s="252">
        <f t="shared" si="47"/>
        <v>44600</v>
      </c>
      <c r="V655" s="6"/>
      <c r="W655" s="580">
        <v>2817205</v>
      </c>
      <c r="X655" s="581"/>
      <c r="Y655" s="44">
        <v>3.0000000000000001E-3</v>
      </c>
      <c r="Z655" s="581"/>
      <c r="AA655" s="582">
        <f t="shared" ref="AA655" si="55">+W654-W655</f>
        <v>318795</v>
      </c>
      <c r="AB655" s="581"/>
      <c r="AC655" s="583"/>
      <c r="AD655" s="251"/>
    </row>
    <row r="656" spans="15:30" x14ac:dyDescent="0.3">
      <c r="O656" s="98"/>
      <c r="T656" s="250"/>
      <c r="U656" s="252">
        <f t="shared" si="47"/>
        <v>44601</v>
      </c>
      <c r="V656" s="6"/>
      <c r="W656" s="580">
        <v>2521633</v>
      </c>
      <c r="X656" s="581"/>
      <c r="Y656" s="44">
        <v>3.0000000000000001E-3</v>
      </c>
      <c r="Z656" s="581"/>
      <c r="AA656" s="582">
        <f t="shared" ref="AA656" si="56">+W655-W656</f>
        <v>295572</v>
      </c>
      <c r="AB656" s="581"/>
      <c r="AC656" s="583"/>
      <c r="AD656" s="251"/>
    </row>
    <row r="657" spans="15:30" x14ac:dyDescent="0.3">
      <c r="O657" s="98"/>
      <c r="T657" s="250"/>
      <c r="U657" s="252">
        <f t="shared" si="47"/>
        <v>44602</v>
      </c>
      <c r="V657" s="6"/>
      <c r="W657" s="580">
        <v>2508149</v>
      </c>
      <c r="X657" s="581"/>
      <c r="Y657" s="44">
        <v>3.0000000000000001E-3</v>
      </c>
      <c r="Z657" s="581"/>
      <c r="AA657" s="582">
        <f t="shared" ref="AA657" si="57">+W656-W657</f>
        <v>13484</v>
      </c>
      <c r="AB657" s="581"/>
      <c r="AC657" s="583"/>
      <c r="AD657" s="251"/>
    </row>
    <row r="658" spans="15:30" x14ac:dyDescent="0.3">
      <c r="O658" s="98"/>
      <c r="T658" s="250"/>
      <c r="U658" s="252">
        <f t="shared" si="47"/>
        <v>44603</v>
      </c>
      <c r="V658" s="6"/>
      <c r="W658" s="580">
        <v>2499181</v>
      </c>
      <c r="X658" s="581"/>
      <c r="Y658" s="44">
        <v>3.0000000000000001E-3</v>
      </c>
      <c r="Z658" s="581"/>
      <c r="AA658" s="582">
        <f t="shared" ref="AA658" si="58">+W657-W658</f>
        <v>8968</v>
      </c>
      <c r="AB658" s="581"/>
      <c r="AC658" s="583"/>
      <c r="AD658" s="251"/>
    </row>
    <row r="659" spans="15:30" x14ac:dyDescent="0.3">
      <c r="O659" s="98"/>
      <c r="T659" s="250"/>
      <c r="U659" s="252">
        <f t="shared" si="47"/>
        <v>44604</v>
      </c>
      <c r="V659" s="6"/>
      <c r="W659" s="580">
        <v>2283983</v>
      </c>
      <c r="X659" s="581"/>
      <c r="Y659" s="44">
        <v>3.0000000000000001E-3</v>
      </c>
      <c r="Z659" s="581"/>
      <c r="AA659" s="582">
        <f t="shared" ref="AA659" si="59">+W658-W659</f>
        <v>215198</v>
      </c>
      <c r="AB659" s="581"/>
      <c r="AC659" s="583"/>
      <c r="AD659" s="251"/>
    </row>
    <row r="660" spans="15:30" x14ac:dyDescent="0.3">
      <c r="O660" s="98"/>
      <c r="T660" s="250"/>
      <c r="U660" s="573">
        <f t="shared" si="47"/>
        <v>44605</v>
      </c>
      <c r="V660" s="6"/>
      <c r="W660" s="580">
        <v>2013265</v>
      </c>
      <c r="X660" s="581"/>
      <c r="Y660" s="44">
        <v>3.0000000000000001E-3</v>
      </c>
      <c r="Z660" s="581"/>
      <c r="AA660" s="582">
        <f t="shared" ref="AA660" si="60">+W659-W660</f>
        <v>270718</v>
      </c>
      <c r="AB660" s="581"/>
      <c r="AC660" s="583"/>
      <c r="AD660" s="251"/>
    </row>
    <row r="661" spans="15:30" x14ac:dyDescent="0.3">
      <c r="O661" s="98"/>
      <c r="T661" s="250"/>
      <c r="U661" s="252">
        <f t="shared" si="47"/>
        <v>44606</v>
      </c>
      <c r="V661" s="6"/>
      <c r="W661" s="580">
        <v>1791088</v>
      </c>
      <c r="X661" s="581"/>
      <c r="Y661" s="44">
        <v>3.0000000000000001E-3</v>
      </c>
      <c r="Z661" s="581"/>
      <c r="AA661" s="582">
        <f t="shared" ref="AA661" si="61">+W660-W661</f>
        <v>222177</v>
      </c>
      <c r="AB661" s="581"/>
      <c r="AC661" s="583"/>
      <c r="AD661" s="251"/>
    </row>
    <row r="662" spans="15:30" x14ac:dyDescent="0.3">
      <c r="O662" s="98"/>
      <c r="T662" s="250"/>
      <c r="U662" s="252">
        <f t="shared" si="47"/>
        <v>44607</v>
      </c>
      <c r="V662" s="6"/>
      <c r="W662" s="580">
        <v>1632127</v>
      </c>
      <c r="X662" s="581"/>
      <c r="Y662" s="44">
        <v>3.0000000000000001E-3</v>
      </c>
      <c r="Z662" s="581"/>
      <c r="AA662" s="582">
        <f t="shared" ref="AA662" si="62">+W661-W662</f>
        <v>158961</v>
      </c>
      <c r="AB662" s="581"/>
      <c r="AC662" s="583"/>
      <c r="AD662" s="251"/>
    </row>
    <row r="663" spans="15:30" x14ac:dyDescent="0.3">
      <c r="O663" s="98"/>
      <c r="T663" s="250"/>
      <c r="U663" s="252">
        <f t="shared" si="47"/>
        <v>44608</v>
      </c>
      <c r="V663" s="6"/>
      <c r="W663" s="580">
        <v>1442964</v>
      </c>
      <c r="X663" s="581"/>
      <c r="Y663" s="44">
        <v>3.0000000000000001E-3</v>
      </c>
      <c r="Z663" s="581"/>
      <c r="AA663" s="582">
        <f t="shared" ref="AA663" si="63">+W662-W663</f>
        <v>189163</v>
      </c>
      <c r="AB663" s="581"/>
      <c r="AC663" s="583"/>
      <c r="AD663" s="251"/>
    </row>
    <row r="664" spans="15:30" x14ac:dyDescent="0.3">
      <c r="O664" s="98"/>
      <c r="T664" s="250"/>
      <c r="U664" s="252">
        <f t="shared" si="47"/>
        <v>44609</v>
      </c>
      <c r="V664" s="6"/>
      <c r="W664" s="580">
        <v>1440818</v>
      </c>
      <c r="X664" s="581"/>
      <c r="Y664" s="44">
        <v>3.0000000000000001E-3</v>
      </c>
      <c r="Z664" s="581"/>
      <c r="AA664" s="582">
        <f t="shared" ref="AA664" si="64">+W663-W664</f>
        <v>2146</v>
      </c>
      <c r="AB664" s="581"/>
      <c r="AC664" s="583"/>
      <c r="AD664" s="251"/>
    </row>
    <row r="665" spans="15:30" x14ac:dyDescent="0.3">
      <c r="O665" s="98"/>
      <c r="T665" s="250"/>
      <c r="U665" s="252">
        <f t="shared" si="47"/>
        <v>44610</v>
      </c>
      <c r="V665" s="6"/>
      <c r="W665" s="580">
        <v>1497914</v>
      </c>
      <c r="X665" s="581"/>
      <c r="Y665" s="44">
        <v>3.0000000000000001E-3</v>
      </c>
      <c r="Z665" s="581"/>
      <c r="AA665" s="582">
        <f t="shared" ref="AA665" si="65">+W664-W665</f>
        <v>-57096</v>
      </c>
      <c r="AB665" s="581"/>
      <c r="AC665" s="583"/>
      <c r="AD665" s="251"/>
    </row>
    <row r="666" spans="15:30" x14ac:dyDescent="0.3">
      <c r="O666" s="98"/>
      <c r="T666" s="250"/>
      <c r="U666" s="252">
        <f t="shared" si="47"/>
        <v>44611</v>
      </c>
      <c r="V666" s="6"/>
      <c r="W666" s="580">
        <v>1385150</v>
      </c>
      <c r="X666" s="581"/>
      <c r="Y666" s="44">
        <v>3.0000000000000001E-3</v>
      </c>
      <c r="Z666" s="581"/>
      <c r="AA666" s="582">
        <f t="shared" ref="AA666" si="66">+W665-W666</f>
        <v>112764</v>
      </c>
      <c r="AB666" s="581"/>
      <c r="AC666" s="583"/>
      <c r="AD666" s="251"/>
    </row>
    <row r="667" spans="15:30" x14ac:dyDescent="0.3">
      <c r="O667" s="98"/>
      <c r="T667" s="250"/>
      <c r="U667" s="573">
        <f t="shared" si="47"/>
        <v>44612</v>
      </c>
      <c r="V667" s="6"/>
      <c r="W667" s="580">
        <v>1220645</v>
      </c>
      <c r="X667" s="581"/>
      <c r="Y667" s="44">
        <v>3.0000000000000001E-3</v>
      </c>
      <c r="Z667" s="581"/>
      <c r="AA667" s="582">
        <f t="shared" ref="AA667" si="67">+W666-W667</f>
        <v>164505</v>
      </c>
      <c r="AB667" s="581"/>
      <c r="AC667" s="583"/>
      <c r="AD667" s="251"/>
    </row>
    <row r="668" spans="15:30" x14ac:dyDescent="0.3">
      <c r="O668" s="98"/>
      <c r="T668" s="250"/>
      <c r="U668" s="252">
        <f t="shared" si="47"/>
        <v>44613</v>
      </c>
      <c r="V668" s="6"/>
      <c r="W668" s="580">
        <v>1020447</v>
      </c>
      <c r="X668" s="581"/>
      <c r="Y668" s="44">
        <v>3.0000000000000001E-3</v>
      </c>
      <c r="Z668" s="581"/>
      <c r="AA668" s="582">
        <f t="shared" ref="AA668" si="68">+W667-W668</f>
        <v>200198</v>
      </c>
      <c r="AB668" s="581"/>
      <c r="AC668" s="583"/>
      <c r="AD668" s="251"/>
    </row>
    <row r="669" spans="15:30" x14ac:dyDescent="0.3">
      <c r="O669" s="98"/>
      <c r="T669" s="250"/>
      <c r="U669" s="252">
        <f t="shared" si="47"/>
        <v>44614</v>
      </c>
      <c r="V669" s="6"/>
      <c r="W669" s="580">
        <v>902343</v>
      </c>
      <c r="X669" s="581"/>
      <c r="Y669" s="44">
        <v>3.0000000000000001E-5</v>
      </c>
      <c r="Z669" s="581"/>
      <c r="AA669" s="582">
        <f t="shared" ref="AA669" si="69">+W668-W669</f>
        <v>118104</v>
      </c>
      <c r="AB669" s="581"/>
      <c r="AC669" s="583"/>
      <c r="AD669" s="251"/>
    </row>
    <row r="670" spans="15:30" x14ac:dyDescent="0.3">
      <c r="O670" s="98"/>
      <c r="T670" s="250"/>
      <c r="U670" s="252">
        <f t="shared" si="47"/>
        <v>44615</v>
      </c>
      <c r="V670" s="6"/>
      <c r="W670" s="580">
        <v>827936</v>
      </c>
      <c r="X670" s="581"/>
      <c r="Y670" s="44">
        <v>3.0000000000000001E-3</v>
      </c>
      <c r="Z670" s="581"/>
      <c r="AA670" s="582">
        <f t="shared" ref="AA670" si="70">+W669-W670</f>
        <v>74407</v>
      </c>
      <c r="AB670" s="581"/>
      <c r="AC670" s="583"/>
      <c r="AD670" s="251"/>
    </row>
    <row r="671" spans="15:30" x14ac:dyDescent="0.3">
      <c r="O671" s="98"/>
      <c r="T671" s="250"/>
      <c r="U671" s="252">
        <f t="shared" si="47"/>
        <v>44616</v>
      </c>
      <c r="V671" s="6"/>
      <c r="W671" s="580">
        <v>838776</v>
      </c>
      <c r="X671" s="581"/>
      <c r="Y671" s="44">
        <v>3.0000000000000001E-3</v>
      </c>
      <c r="Z671" s="581"/>
      <c r="AA671" s="582">
        <f t="shared" ref="AA671" si="71">+W670-W671</f>
        <v>-10840</v>
      </c>
      <c r="AB671" s="581"/>
      <c r="AC671" s="583"/>
      <c r="AD671" s="251"/>
    </row>
    <row r="672" spans="15:30" x14ac:dyDescent="0.3">
      <c r="O672" s="98"/>
      <c r="T672" s="250"/>
      <c r="U672" s="252">
        <f t="shared" si="47"/>
        <v>44617</v>
      </c>
      <c r="V672" s="6"/>
      <c r="W672" s="580">
        <v>882818</v>
      </c>
      <c r="X672" s="581"/>
      <c r="Y672" s="44">
        <v>3.0000000000000001E-3</v>
      </c>
      <c r="Z672" s="581"/>
      <c r="AA672" s="582">
        <f t="shared" ref="AA672" si="72">+W671-W672</f>
        <v>-44042</v>
      </c>
      <c r="AB672" s="581"/>
      <c r="AC672" s="583"/>
      <c r="AD672" s="251"/>
    </row>
    <row r="673" spans="15:30" x14ac:dyDescent="0.3">
      <c r="O673" s="98"/>
      <c r="T673" s="250"/>
      <c r="U673" s="252">
        <f t="shared" si="47"/>
        <v>44618</v>
      </c>
      <c r="V673" s="6"/>
      <c r="W673" s="580">
        <v>827634</v>
      </c>
      <c r="X673" s="581"/>
      <c r="Y673" s="44">
        <v>3.0000000000000001E-3</v>
      </c>
      <c r="Z673" s="581"/>
      <c r="AA673" s="582">
        <f t="shared" ref="AA673" si="73">+W672-W673</f>
        <v>55184</v>
      </c>
      <c r="AB673" s="581"/>
      <c r="AC673" s="583"/>
      <c r="AD673" s="251"/>
    </row>
    <row r="674" spans="15:30" x14ac:dyDescent="0.3">
      <c r="O674" s="98"/>
      <c r="T674" s="250"/>
      <c r="U674" s="573">
        <f t="shared" si="47"/>
        <v>44619</v>
      </c>
      <c r="V674" s="6"/>
      <c r="W674" s="580">
        <v>736874</v>
      </c>
      <c r="X674" s="581"/>
      <c r="Y674" s="44">
        <v>3.0000000000000001E-3</v>
      </c>
      <c r="Z674" s="581"/>
      <c r="AA674" s="582">
        <f t="shared" ref="AA674" si="74">+W673-W674</f>
        <v>90760</v>
      </c>
      <c r="AB674" s="581"/>
      <c r="AC674" s="583"/>
      <c r="AD674" s="251"/>
    </row>
    <row r="675" spans="15:30" x14ac:dyDescent="0.3">
      <c r="O675" s="98"/>
      <c r="T675" s="250"/>
      <c r="U675" s="252">
        <f t="shared" si="47"/>
        <v>44620</v>
      </c>
      <c r="V675" s="6"/>
      <c r="W675" s="580">
        <v>654615</v>
      </c>
      <c r="X675" s="581"/>
      <c r="Y675" s="44">
        <v>3.0000000000000001E-3</v>
      </c>
      <c r="Z675" s="581"/>
      <c r="AA675" s="582">
        <f t="shared" ref="AA675" si="75">+W674-W675</f>
        <v>82259</v>
      </c>
      <c r="AB675" s="581"/>
      <c r="AC675" s="583"/>
      <c r="AD675" s="251"/>
    </row>
    <row r="676" spans="15:30" x14ac:dyDescent="0.3">
      <c r="O676" s="98"/>
      <c r="T676" s="250"/>
      <c r="U676" s="252">
        <f t="shared" si="47"/>
        <v>44621</v>
      </c>
      <c r="V676" s="6"/>
      <c r="W676" s="580">
        <v>592889</v>
      </c>
      <c r="X676" s="581"/>
      <c r="Y676" s="44">
        <v>3.0000000000000001E-3</v>
      </c>
      <c r="Z676" s="581"/>
      <c r="AA676" s="582">
        <f t="shared" ref="AA676" si="76">+W675-W676</f>
        <v>61726</v>
      </c>
      <c r="AB676" s="581"/>
      <c r="AC676" s="583"/>
      <c r="AD676" s="251"/>
    </row>
    <row r="677" spans="15:30" x14ac:dyDescent="0.3">
      <c r="O677" s="98"/>
      <c r="T677" s="250"/>
      <c r="U677" s="252">
        <f t="shared" si="47"/>
        <v>44622</v>
      </c>
      <c r="V677" s="6"/>
      <c r="W677" s="580">
        <v>534747</v>
      </c>
      <c r="X677" s="581"/>
      <c r="Y677" s="44">
        <v>3.0000000000000001E-3</v>
      </c>
      <c r="Z677" s="581"/>
      <c r="AA677" s="582">
        <f t="shared" ref="AA677" si="77">+W676-W677</f>
        <v>58142</v>
      </c>
      <c r="AB677" s="581"/>
      <c r="AC677" s="583"/>
      <c r="AD677" s="251"/>
    </row>
    <row r="678" spans="15:30" x14ac:dyDescent="0.3">
      <c r="O678" s="98"/>
      <c r="T678" s="250"/>
      <c r="U678" s="252">
        <f t="shared" si="47"/>
        <v>44623</v>
      </c>
      <c r="V678" s="6"/>
      <c r="W678" s="580">
        <v>542259</v>
      </c>
      <c r="X678" s="581"/>
      <c r="Y678" s="44">
        <v>3.0000000000000001E-3</v>
      </c>
      <c r="Z678" s="581"/>
      <c r="AA678" s="582">
        <f t="shared" ref="AA678" si="78">+W677-W678</f>
        <v>-7512</v>
      </c>
      <c r="AB678" s="581"/>
      <c r="AC678" s="583"/>
      <c r="AD678" s="251"/>
    </row>
    <row r="679" spans="15:30" x14ac:dyDescent="0.3">
      <c r="O679" s="98"/>
      <c r="T679" s="250"/>
      <c r="U679" s="252">
        <f t="shared" si="47"/>
        <v>44624</v>
      </c>
      <c r="V679" s="6"/>
      <c r="W679" s="580">
        <v>572569</v>
      </c>
      <c r="X679" s="581"/>
      <c r="Y679" s="44">
        <v>3.0000000000000001E-3</v>
      </c>
      <c r="Z679" s="581"/>
      <c r="AA679" s="582">
        <f t="shared" ref="AA679" si="79">+W678-W679</f>
        <v>-30310</v>
      </c>
      <c r="AB679" s="581"/>
      <c r="AC679" s="583"/>
      <c r="AD679" s="251"/>
    </row>
    <row r="680" spans="15:30" x14ac:dyDescent="0.3">
      <c r="O680" s="98"/>
      <c r="T680" s="250"/>
      <c r="U680" s="252">
        <f t="shared" si="47"/>
        <v>44625</v>
      </c>
      <c r="V680" s="6"/>
      <c r="W680" s="580">
        <v>560611</v>
      </c>
      <c r="X680" s="581"/>
      <c r="Y680" s="44">
        <v>3.0000000000000001E-3</v>
      </c>
      <c r="Z680" s="581"/>
      <c r="AA680" s="582">
        <f t="shared" ref="AA680" si="80">+W679-W680</f>
        <v>11958</v>
      </c>
      <c r="AB680" s="581"/>
      <c r="AC680" s="583"/>
      <c r="AD680" s="251"/>
    </row>
    <row r="681" spans="15:30" x14ac:dyDescent="0.3">
      <c r="O681" s="98"/>
      <c r="T681" s="250"/>
      <c r="U681" s="573">
        <f t="shared" si="47"/>
        <v>44626</v>
      </c>
      <c r="V681" s="6"/>
      <c r="W681" s="580">
        <v>503651</v>
      </c>
      <c r="X681" s="581"/>
      <c r="Y681" s="44">
        <v>3.0000000000000001E-3</v>
      </c>
      <c r="Z681" s="581"/>
      <c r="AA681" s="582">
        <f t="shared" ref="AA681" si="81">+W680-W681</f>
        <v>56960</v>
      </c>
      <c r="AB681" s="581"/>
      <c r="AC681" s="583"/>
      <c r="AD681" s="251"/>
    </row>
    <row r="682" spans="15:30" x14ac:dyDescent="0.3">
      <c r="O682" s="98"/>
      <c r="T682" s="250"/>
      <c r="U682" s="252">
        <f t="shared" si="47"/>
        <v>44627</v>
      </c>
      <c r="V682" s="6"/>
      <c r="W682" s="580">
        <v>453487</v>
      </c>
      <c r="X682" s="581"/>
      <c r="Y682" s="44">
        <v>3.0000000000000001E-3</v>
      </c>
      <c r="Z682" s="581"/>
      <c r="AA682" s="582">
        <f t="shared" ref="AA682" si="82">+W681-W682</f>
        <v>50164</v>
      </c>
      <c r="AB682" s="581"/>
      <c r="AC682" s="583"/>
      <c r="AD682" s="251"/>
    </row>
    <row r="683" spans="15:30" x14ac:dyDescent="0.3">
      <c r="O683" s="98"/>
      <c r="T683" s="250"/>
      <c r="U683" s="252">
        <f t="shared" si="47"/>
        <v>44628</v>
      </c>
      <c r="V683" s="6"/>
      <c r="W683" s="580">
        <v>411950</v>
      </c>
      <c r="X683" s="581"/>
      <c r="Y683" s="44">
        <v>3.0000000000000001E-3</v>
      </c>
      <c r="Z683" s="581"/>
      <c r="AA683" s="582">
        <f t="shared" ref="AA683" si="83">+W682-W683</f>
        <v>41537</v>
      </c>
      <c r="AB683" s="581"/>
      <c r="AC683" s="583"/>
      <c r="AD683" s="251"/>
    </row>
    <row r="684" spans="15:30" x14ac:dyDescent="0.3">
      <c r="O684" s="98"/>
      <c r="T684" s="250"/>
      <c r="U684" s="252">
        <f t="shared" si="47"/>
        <v>44629</v>
      </c>
      <c r="V684" s="6"/>
      <c r="W684" s="580">
        <v>374629</v>
      </c>
      <c r="X684" s="581"/>
      <c r="Y684" s="44">
        <v>3.0000000000000001E-3</v>
      </c>
      <c r="Z684" s="581"/>
      <c r="AA684" s="582">
        <f t="shared" ref="AA684" si="84">+W683-W684</f>
        <v>37321</v>
      </c>
      <c r="AB684" s="581"/>
      <c r="AC684" s="583"/>
      <c r="AD684" s="251"/>
    </row>
    <row r="685" spans="15:30" x14ac:dyDescent="0.3">
      <c r="O685" s="98"/>
      <c r="T685" s="250"/>
      <c r="U685" s="252">
        <f t="shared" si="47"/>
        <v>44630</v>
      </c>
      <c r="V685" s="6"/>
      <c r="W685" s="580">
        <v>386394</v>
      </c>
      <c r="X685" s="581"/>
      <c r="Y685" s="44">
        <v>3.0000000000000001E-3</v>
      </c>
      <c r="Z685" s="581"/>
      <c r="AA685" s="582">
        <f t="shared" ref="AA685" si="85">+W684-W685</f>
        <v>-11765</v>
      </c>
      <c r="AB685" s="581"/>
      <c r="AC685" s="583"/>
      <c r="AD685" s="251"/>
    </row>
    <row r="686" spans="15:30" x14ac:dyDescent="0.3">
      <c r="O686" s="98"/>
      <c r="T686" s="250"/>
      <c r="U686" s="252">
        <f t="shared" si="47"/>
        <v>44631</v>
      </c>
      <c r="V686" s="6"/>
      <c r="W686" s="580">
        <v>417900</v>
      </c>
      <c r="X686" s="581"/>
      <c r="Y686" s="44">
        <v>3.0000000000000001E-3</v>
      </c>
      <c r="Z686" s="581"/>
      <c r="AA686" s="582">
        <f t="shared" ref="AA686" si="86">+W685-W686</f>
        <v>-31506</v>
      </c>
      <c r="AB686" s="581"/>
      <c r="AC686" s="583"/>
      <c r="AD686" s="251"/>
    </row>
    <row r="687" spans="15:30" x14ac:dyDescent="0.3">
      <c r="O687" s="98"/>
      <c r="T687" s="250"/>
      <c r="U687" s="252">
        <f t="shared" si="47"/>
        <v>44632</v>
      </c>
      <c r="V687" s="6"/>
      <c r="W687" s="580">
        <v>397028</v>
      </c>
      <c r="X687" s="581"/>
      <c r="Y687" s="44">
        <v>3.0000000000000001E-3</v>
      </c>
      <c r="Z687" s="581"/>
      <c r="AA687" s="582">
        <f t="shared" ref="AA687" si="87">+W686-W687</f>
        <v>20872</v>
      </c>
      <c r="AB687" s="581"/>
      <c r="AC687" s="583"/>
      <c r="AD687" s="251"/>
    </row>
    <row r="688" spans="15:30" x14ac:dyDescent="0.3">
      <c r="O688" s="98"/>
      <c r="T688" s="250"/>
      <c r="U688" s="573">
        <f t="shared" si="47"/>
        <v>44633</v>
      </c>
      <c r="V688" s="6"/>
      <c r="W688" s="580">
        <v>360133</v>
      </c>
      <c r="X688" s="581"/>
      <c r="Y688" s="44">
        <v>3.0000000000000001E-3</v>
      </c>
      <c r="Z688" s="581"/>
      <c r="AA688" s="582">
        <f t="shared" ref="AA688" si="88">+W687-W688</f>
        <v>36895</v>
      </c>
      <c r="AB688" s="581"/>
      <c r="AC688" s="583"/>
      <c r="AD688" s="251"/>
    </row>
    <row r="689" spans="15:30" x14ac:dyDescent="0.3">
      <c r="O689" s="98"/>
      <c r="T689" s="250"/>
      <c r="U689" s="252">
        <f t="shared" si="47"/>
        <v>44634</v>
      </c>
      <c r="V689" s="6"/>
      <c r="W689" s="580">
        <v>328748</v>
      </c>
      <c r="X689" s="581"/>
      <c r="Y689" s="44">
        <v>3.0000000000000001E-3</v>
      </c>
      <c r="Z689" s="581"/>
      <c r="AA689" s="582">
        <f t="shared" ref="AA689" si="89">+W688-W689</f>
        <v>31385</v>
      </c>
      <c r="AB689" s="581"/>
      <c r="AC689" s="583"/>
      <c r="AD689" s="251"/>
    </row>
    <row r="690" spans="15:30" x14ac:dyDescent="0.3">
      <c r="O690" s="98"/>
      <c r="T690" s="250"/>
      <c r="U690" s="252">
        <f t="shared" si="47"/>
        <v>44635</v>
      </c>
      <c r="V690" s="6"/>
      <c r="W690" s="580">
        <v>298767</v>
      </c>
      <c r="X690" s="581"/>
      <c r="Y690" s="44">
        <v>3.0000000000000001E-3</v>
      </c>
      <c r="Z690" s="581"/>
      <c r="AA690" s="582">
        <f t="shared" ref="AA690" si="90">+W689-W690</f>
        <v>29981</v>
      </c>
      <c r="AB690" s="581"/>
      <c r="AC690" s="583"/>
      <c r="AD690" s="251"/>
    </row>
    <row r="691" spans="15:30" x14ac:dyDescent="0.3">
      <c r="O691" s="98"/>
      <c r="T691" s="250"/>
      <c r="U691" s="252">
        <f t="shared" si="47"/>
        <v>44636</v>
      </c>
      <c r="V691" s="6"/>
      <c r="W691" s="580">
        <v>268203</v>
      </c>
      <c r="X691" s="581"/>
      <c r="Y691" s="44">
        <v>3.0000000000000001E-3</v>
      </c>
      <c r="Z691" s="581"/>
      <c r="AA691" s="582">
        <f t="shared" ref="AA691" si="91">+W690-W691</f>
        <v>30564</v>
      </c>
      <c r="AB691" s="581"/>
      <c r="AC691" s="583"/>
      <c r="AD691" s="251"/>
    </row>
    <row r="692" spans="15:30" x14ac:dyDescent="0.3">
      <c r="O692" s="98"/>
      <c r="T692" s="250"/>
      <c r="U692" s="252">
        <f t="shared" si="47"/>
        <v>44637</v>
      </c>
      <c r="V692" s="6"/>
      <c r="W692" s="580">
        <v>277814</v>
      </c>
      <c r="X692" s="581"/>
      <c r="Y692" s="44">
        <v>3.0000000000000001E-3</v>
      </c>
      <c r="Z692" s="581"/>
      <c r="AA692" s="582">
        <f t="shared" ref="AA692" si="92">+W691-W692</f>
        <v>-9611</v>
      </c>
      <c r="AB692" s="581"/>
      <c r="AC692" s="583"/>
      <c r="AD692" s="251"/>
    </row>
    <row r="693" spans="15:30" x14ac:dyDescent="0.3">
      <c r="O693" s="98"/>
      <c r="T693" s="250"/>
      <c r="U693" s="252">
        <f t="shared" si="47"/>
        <v>44638</v>
      </c>
      <c r="V693" s="6"/>
      <c r="W693" s="580">
        <v>280309</v>
      </c>
      <c r="X693" s="581"/>
      <c r="Y693" s="44">
        <v>3.0000000000000001E-3</v>
      </c>
      <c r="Z693" s="581"/>
      <c r="AA693" s="582">
        <f t="shared" ref="AA693" si="93">+W692-W693</f>
        <v>-2495</v>
      </c>
      <c r="AB693" s="581"/>
      <c r="AC693" s="583"/>
      <c r="AD693" s="251"/>
    </row>
    <row r="694" spans="15:30" x14ac:dyDescent="0.3">
      <c r="O694" s="98"/>
      <c r="T694" s="250"/>
      <c r="U694" s="252">
        <f t="shared" si="47"/>
        <v>44639</v>
      </c>
      <c r="V694" s="6"/>
      <c r="W694" s="580">
        <v>253323</v>
      </c>
      <c r="X694" s="581"/>
      <c r="Y694" s="44">
        <v>3.0000000000000001E-3</v>
      </c>
      <c r="Z694" s="581"/>
      <c r="AA694" s="582">
        <f t="shared" ref="AA694" si="94">+W693-W694</f>
        <v>26986</v>
      </c>
      <c r="AB694" s="581"/>
      <c r="AC694" s="583"/>
      <c r="AD694" s="251"/>
    </row>
    <row r="695" spans="15:30" x14ac:dyDescent="0.3">
      <c r="O695" s="98"/>
      <c r="T695" s="250"/>
      <c r="U695" s="573">
        <f t="shared" si="47"/>
        <v>44640</v>
      </c>
      <c r="V695" s="6"/>
      <c r="W695" s="580">
        <v>221166</v>
      </c>
      <c r="X695" s="581"/>
      <c r="Y695" s="44">
        <v>3.0000000000000001E-3</v>
      </c>
      <c r="Z695" s="581"/>
      <c r="AA695" s="582">
        <f t="shared" ref="AA695" si="95">+W694-W695</f>
        <v>32157</v>
      </c>
      <c r="AB695" s="581"/>
      <c r="AC695" s="583"/>
      <c r="AD695" s="251"/>
    </row>
    <row r="696" spans="15:30" x14ac:dyDescent="0.3">
      <c r="O696" s="98"/>
      <c r="T696" s="250"/>
      <c r="U696" s="252">
        <f t="shared" si="47"/>
        <v>44641</v>
      </c>
      <c r="V696" s="6"/>
      <c r="W696" s="580">
        <v>198264</v>
      </c>
      <c r="X696" s="581"/>
      <c r="Y696" s="44">
        <v>3.0000000000000001E-3</v>
      </c>
      <c r="Z696" s="581"/>
      <c r="AA696" s="582">
        <f t="shared" ref="AA696" si="96">+W695-W696</f>
        <v>22902</v>
      </c>
      <c r="AB696" s="581"/>
      <c r="AC696" s="583"/>
      <c r="AD696" s="251"/>
    </row>
    <row r="697" spans="15:30" x14ac:dyDescent="0.3">
      <c r="O697" s="98"/>
      <c r="T697" s="250"/>
      <c r="U697" s="252">
        <f t="shared" si="47"/>
        <v>44642</v>
      </c>
      <c r="V697" s="6"/>
      <c r="W697" s="580">
        <v>218521</v>
      </c>
      <c r="X697" s="581"/>
      <c r="Y697" s="44">
        <v>3.0000000000000001E-3</v>
      </c>
      <c r="Z697" s="581"/>
      <c r="AA697" s="582">
        <f t="shared" ref="AA697" si="97">+W696-W697</f>
        <v>-20257</v>
      </c>
      <c r="AB697" s="581"/>
      <c r="AC697" s="583"/>
      <c r="AD697" s="251"/>
    </row>
    <row r="698" spans="15:30" x14ac:dyDescent="0.3">
      <c r="O698" s="98"/>
      <c r="T698" s="250"/>
      <c r="U698" s="252">
        <f t="shared" si="47"/>
        <v>44643</v>
      </c>
      <c r="V698" s="6"/>
      <c r="W698" s="580">
        <v>241521</v>
      </c>
      <c r="X698" s="581"/>
      <c r="Y698" s="44">
        <v>3.0000000000000001E-3</v>
      </c>
      <c r="Z698" s="581"/>
      <c r="AA698" s="582">
        <f t="shared" ref="AA698" si="98">+W697-W698</f>
        <v>-23000</v>
      </c>
      <c r="AB698" s="581"/>
      <c r="AC698" s="583"/>
      <c r="AD698" s="251"/>
    </row>
    <row r="699" spans="15:30" x14ac:dyDescent="0.3">
      <c r="O699" s="98"/>
      <c r="T699" s="250"/>
      <c r="U699" s="252">
        <f t="shared" si="47"/>
        <v>44644</v>
      </c>
      <c r="V699" s="6"/>
      <c r="W699" s="580">
        <v>267903</v>
      </c>
      <c r="X699" s="581"/>
      <c r="Y699" s="44">
        <v>3.0000000000000001E-3</v>
      </c>
      <c r="Z699" s="581"/>
      <c r="AA699" s="582">
        <f t="shared" ref="AA699" si="99">+W698-W699</f>
        <v>-26382</v>
      </c>
      <c r="AB699" s="581"/>
      <c r="AC699" s="583"/>
      <c r="AD699" s="251"/>
    </row>
    <row r="700" spans="15:30" x14ac:dyDescent="0.3">
      <c r="O700" s="98"/>
      <c r="T700" s="250"/>
      <c r="U700" s="252">
        <f t="shared" si="47"/>
        <v>44645</v>
      </c>
      <c r="V700" s="6"/>
      <c r="W700" s="580">
        <v>280241</v>
      </c>
      <c r="X700" s="581"/>
      <c r="Y700" s="44">
        <v>3.0000000000000001E-3</v>
      </c>
      <c r="Z700" s="581"/>
      <c r="AA700" s="582">
        <f t="shared" ref="AA700" si="100">+W699-W700</f>
        <v>-12338</v>
      </c>
      <c r="AB700" s="581"/>
      <c r="AC700" s="583"/>
      <c r="AD700" s="251"/>
    </row>
    <row r="701" spans="15:30" x14ac:dyDescent="0.3">
      <c r="O701" s="98"/>
      <c r="T701" s="250"/>
      <c r="U701" s="252">
        <f t="shared" si="47"/>
        <v>44646</v>
      </c>
      <c r="V701" s="6"/>
      <c r="W701" s="580">
        <v>270147</v>
      </c>
      <c r="X701" s="581"/>
      <c r="Y701" s="44">
        <v>3.0000000000000001E-3</v>
      </c>
      <c r="Z701" s="581"/>
      <c r="AA701" s="582">
        <f t="shared" ref="AA701" si="101">+W700-W701</f>
        <v>10094</v>
      </c>
      <c r="AB701" s="581"/>
      <c r="AC701" s="583"/>
      <c r="AD701" s="251"/>
    </row>
    <row r="702" spans="15:30" x14ac:dyDescent="0.3">
      <c r="O702" s="98"/>
      <c r="T702" s="250"/>
      <c r="U702" s="573">
        <f t="shared" si="47"/>
        <v>44647</v>
      </c>
      <c r="V702" s="6"/>
      <c r="W702" s="580">
        <v>244545</v>
      </c>
      <c r="X702" s="581"/>
      <c r="Y702" s="44">
        <v>3.0000000000000001E-3</v>
      </c>
      <c r="Z702" s="581"/>
      <c r="AA702" s="582">
        <f t="shared" ref="AA702" si="102">+W701-W702</f>
        <v>25602</v>
      </c>
      <c r="AB702" s="581"/>
      <c r="AC702" s="583"/>
      <c r="AD702" s="251"/>
    </row>
    <row r="703" spans="15:30" x14ac:dyDescent="0.3">
      <c r="O703" s="98"/>
      <c r="T703" s="250"/>
      <c r="U703" s="252">
        <f t="shared" si="47"/>
        <v>44648</v>
      </c>
      <c r="V703" s="6"/>
      <c r="W703" s="580">
        <v>225970</v>
      </c>
      <c r="X703" s="581"/>
      <c r="Y703" s="44">
        <v>3.0000000000000001E-3</v>
      </c>
      <c r="Z703" s="581"/>
      <c r="AA703" s="582">
        <f t="shared" ref="AA703" si="103">+W702-W703</f>
        <v>18575</v>
      </c>
      <c r="AB703" s="581"/>
      <c r="AC703" s="583"/>
      <c r="AD703" s="251"/>
    </row>
    <row r="704" spans="15:30" x14ac:dyDescent="0.3">
      <c r="O704" s="98"/>
      <c r="T704" s="250"/>
      <c r="U704" s="252">
        <f t="shared" si="47"/>
        <v>44649</v>
      </c>
      <c r="V704" s="6"/>
      <c r="W704" s="580">
        <v>217652</v>
      </c>
      <c r="X704" s="581"/>
      <c r="Y704" s="44">
        <v>3.0000000000000001E-3</v>
      </c>
      <c r="Z704" s="581"/>
      <c r="AA704" s="582">
        <f t="shared" ref="AA704" si="104">+W703-W704</f>
        <v>8318</v>
      </c>
      <c r="AB704" s="581"/>
      <c r="AC704" s="583"/>
      <c r="AD704" s="251"/>
    </row>
    <row r="705" spans="15:30" x14ac:dyDescent="0.3">
      <c r="O705" s="98"/>
      <c r="T705" s="250"/>
      <c r="U705" s="252">
        <f t="shared" si="47"/>
        <v>44650</v>
      </c>
      <c r="V705" s="6"/>
      <c r="W705" s="580">
        <v>237410</v>
      </c>
      <c r="X705" s="581"/>
      <c r="Y705" s="44">
        <v>3.0000000000000001E-3</v>
      </c>
      <c r="Z705" s="581"/>
      <c r="AA705" s="582">
        <f t="shared" ref="AA705" si="105">+W704-W705</f>
        <v>-19758</v>
      </c>
      <c r="AB705" s="581"/>
      <c r="AC705" s="583"/>
      <c r="AD705" s="251"/>
    </row>
    <row r="706" spans="15:30" x14ac:dyDescent="0.3">
      <c r="O706" s="98"/>
      <c r="T706" s="250"/>
      <c r="U706" s="252">
        <f t="shared" si="47"/>
        <v>44651</v>
      </c>
      <c r="V706" s="6"/>
      <c r="W706" s="580">
        <v>265904</v>
      </c>
      <c r="X706" s="581"/>
      <c r="Y706" s="44">
        <v>3.0000000000000001E-3</v>
      </c>
      <c r="Z706" s="581"/>
      <c r="AA706" s="582">
        <f t="shared" ref="AA706" si="106">+W705-W706</f>
        <v>-28494</v>
      </c>
      <c r="AB706" s="581"/>
      <c r="AC706" s="583"/>
      <c r="AD706" s="251"/>
    </row>
    <row r="707" spans="15:30" x14ac:dyDescent="0.3">
      <c r="O707" s="98"/>
      <c r="T707" s="250"/>
      <c r="U707" s="252">
        <f t="shared" si="47"/>
        <v>44652</v>
      </c>
      <c r="V707" s="6"/>
      <c r="W707" s="580">
        <v>280073</v>
      </c>
      <c r="X707" s="581"/>
      <c r="Y707" s="44">
        <v>3.0000000000000001E-3</v>
      </c>
      <c r="Z707" s="581"/>
      <c r="AA707" s="582">
        <f t="shared" ref="AA707" si="107">+W706-W707</f>
        <v>-14169</v>
      </c>
      <c r="AB707" s="581"/>
      <c r="AC707" s="583"/>
      <c r="AD707" s="251"/>
    </row>
    <row r="708" spans="15:30" x14ac:dyDescent="0.3">
      <c r="O708" s="98"/>
      <c r="T708" s="250"/>
      <c r="U708" s="252">
        <f t="shared" si="47"/>
        <v>44653</v>
      </c>
      <c r="V708" s="6"/>
      <c r="W708" s="580">
        <v>269028</v>
      </c>
      <c r="X708" s="581"/>
      <c r="Y708" s="44">
        <v>3.0000000000000001E-3</v>
      </c>
      <c r="Z708" s="581"/>
      <c r="AA708" s="582">
        <f t="shared" ref="AA708" si="108">+W707-W708</f>
        <v>11045</v>
      </c>
      <c r="AB708" s="581"/>
      <c r="AC708" s="583"/>
      <c r="AD708" s="251"/>
    </row>
    <row r="709" spans="15:30" x14ac:dyDescent="0.3">
      <c r="O709" s="98"/>
      <c r="T709" s="250"/>
      <c r="U709" s="573">
        <f t="shared" si="47"/>
        <v>44654</v>
      </c>
      <c r="V709" s="6"/>
      <c r="W709" s="580">
        <v>243179</v>
      </c>
      <c r="X709" s="581"/>
      <c r="Y709" s="44">
        <v>3.0000000000000001E-3</v>
      </c>
      <c r="Z709" s="581"/>
      <c r="AA709" s="582">
        <f t="shared" ref="AA709" si="109">+W708-W709</f>
        <v>25849</v>
      </c>
      <c r="AB709" s="581"/>
      <c r="AC709" s="583"/>
      <c r="AD709" s="251"/>
    </row>
    <row r="710" spans="15:30" x14ac:dyDescent="0.3">
      <c r="O710" s="98"/>
      <c r="T710" s="250"/>
      <c r="U710" s="252">
        <f t="shared" si="47"/>
        <v>44655</v>
      </c>
      <c r="V710" s="6"/>
      <c r="W710" s="580">
        <v>230506</v>
      </c>
      <c r="X710" s="581"/>
      <c r="Y710" s="44">
        <v>3.0000000000000001E-3</v>
      </c>
      <c r="Z710" s="581"/>
      <c r="AA710" s="582">
        <f t="shared" ref="AA710" si="110">+W709-W710</f>
        <v>12673</v>
      </c>
      <c r="AB710" s="581"/>
      <c r="AC710" s="583"/>
      <c r="AD710" s="251"/>
    </row>
    <row r="711" spans="15:30" x14ac:dyDescent="0.3">
      <c r="O711" s="98"/>
      <c r="T711" s="250"/>
      <c r="U711" s="252">
        <f t="shared" si="47"/>
        <v>44656</v>
      </c>
      <c r="V711" s="6"/>
      <c r="W711" s="580">
        <v>224023</v>
      </c>
      <c r="X711" s="581"/>
      <c r="Y711" s="44">
        <v>3.0000000000000001E-3</v>
      </c>
      <c r="Z711" s="581"/>
      <c r="AA711" s="582">
        <f t="shared" ref="AA711" si="111">+W710-W711</f>
        <v>6483</v>
      </c>
      <c r="AB711" s="581"/>
      <c r="AC711" s="583"/>
      <c r="AD711" s="251"/>
    </row>
    <row r="712" spans="15:30" x14ac:dyDescent="0.3">
      <c r="O712" s="98"/>
      <c r="T712" s="250"/>
      <c r="U712" s="252">
        <f t="shared" si="47"/>
        <v>44657</v>
      </c>
      <c r="V712" s="6"/>
      <c r="W712" s="580">
        <v>239598</v>
      </c>
      <c r="X712" s="581"/>
      <c r="Y712" s="44">
        <v>3.0000000000000001E-3</v>
      </c>
      <c r="Z712" s="581"/>
      <c r="AA712" s="582">
        <f t="shared" ref="AA712" si="112">+W711-W712</f>
        <v>-15575</v>
      </c>
      <c r="AB712" s="581"/>
      <c r="AC712" s="583"/>
      <c r="AD712" s="251"/>
    </row>
    <row r="713" spans="15:30" x14ac:dyDescent="0.3">
      <c r="O713" s="98"/>
      <c r="T713" s="250"/>
      <c r="U713" s="252">
        <f t="shared" si="47"/>
        <v>44658</v>
      </c>
      <c r="V713" s="6"/>
      <c r="W713" s="580">
        <v>302565</v>
      </c>
      <c r="X713" s="581"/>
      <c r="Y713" s="44">
        <v>3.0000000000000001E-3</v>
      </c>
      <c r="Z713" s="581"/>
      <c r="AA713" s="582">
        <f t="shared" ref="AA713" si="113">+W712-W713</f>
        <v>-62967</v>
      </c>
      <c r="AB713" s="581"/>
      <c r="AC713" s="583"/>
      <c r="AD713" s="251"/>
    </row>
    <row r="714" spans="15:30" x14ac:dyDescent="0.3">
      <c r="O714" s="98"/>
      <c r="T714" s="250"/>
      <c r="U714" s="252">
        <f t="shared" si="47"/>
        <v>44659</v>
      </c>
      <c r="V714" s="6"/>
      <c r="W714" s="580">
        <v>261712</v>
      </c>
      <c r="X714" s="581"/>
      <c r="Y714" s="44">
        <v>3.0000000000000001E-3</v>
      </c>
      <c r="Z714" s="581"/>
      <c r="AA714" s="582">
        <f t="shared" ref="AA714" si="114">+W713-W714</f>
        <v>40853</v>
      </c>
      <c r="AB714" s="581"/>
      <c r="AC714" s="583"/>
      <c r="AD714" s="251"/>
    </row>
    <row r="715" spans="15:30" x14ac:dyDescent="0.3">
      <c r="O715" s="98"/>
      <c r="T715" s="250"/>
      <c r="U715" s="252">
        <f t="shared" si="47"/>
        <v>44660</v>
      </c>
      <c r="V715" s="6"/>
      <c r="W715" s="580">
        <v>245041</v>
      </c>
      <c r="X715" s="581"/>
      <c r="Y715" s="44">
        <v>3.0000000000000001E-3</v>
      </c>
      <c r="Z715" s="581"/>
      <c r="AA715" s="582">
        <f t="shared" ref="AA715" si="115">+W714-W715</f>
        <v>16671</v>
      </c>
      <c r="AB715" s="581"/>
      <c r="AC715" s="583"/>
      <c r="AD715" s="251"/>
    </row>
    <row r="716" spans="15:30" x14ac:dyDescent="0.3">
      <c r="O716" s="98"/>
      <c r="T716" s="250"/>
      <c r="U716" s="573">
        <f t="shared" si="47"/>
        <v>44661</v>
      </c>
      <c r="V716" s="6"/>
      <c r="W716" s="580">
        <v>220184</v>
      </c>
      <c r="X716" s="581"/>
      <c r="Y716" s="44">
        <v>3.0000000000000001E-3</v>
      </c>
      <c r="Z716" s="581"/>
      <c r="AA716" s="582">
        <f t="shared" ref="AA716" si="116">+W715-W716</f>
        <v>24857</v>
      </c>
      <c r="AB716" s="581"/>
      <c r="AC716" s="583"/>
      <c r="AD716" s="251"/>
    </row>
    <row r="717" spans="15:30" x14ac:dyDescent="0.3">
      <c r="O717" s="98"/>
      <c r="T717" s="250"/>
      <c r="U717" s="252">
        <f t="shared" si="47"/>
        <v>44662</v>
      </c>
      <c r="V717" s="6"/>
      <c r="W717" s="580">
        <v>212653</v>
      </c>
      <c r="X717" s="581"/>
      <c r="Y717" s="44">
        <v>3.0000000000000001E-3</v>
      </c>
      <c r="Z717" s="581"/>
      <c r="AA717" s="582">
        <f t="shared" ref="AA717" si="117">+W716-W717</f>
        <v>7531</v>
      </c>
      <c r="AB717" s="581"/>
      <c r="AC717" s="583"/>
      <c r="AD717" s="251"/>
    </row>
    <row r="718" spans="15:30" x14ac:dyDescent="0.3">
      <c r="O718" s="98"/>
      <c r="T718" s="250"/>
      <c r="U718" s="252">
        <f t="shared" si="47"/>
        <v>44663</v>
      </c>
      <c r="V718" s="6"/>
      <c r="W718" s="580">
        <v>228909</v>
      </c>
      <c r="X718" s="581"/>
      <c r="Y718" s="44">
        <v>3.0000000000000001E-3</v>
      </c>
      <c r="Z718" s="581"/>
      <c r="AA718" s="582">
        <f t="shared" ref="AA718" si="118">+W717-W718</f>
        <v>-16256</v>
      </c>
      <c r="AB718" s="581"/>
      <c r="AC718" s="583"/>
      <c r="AD718" s="251"/>
    </row>
    <row r="719" spans="15:30" x14ac:dyDescent="0.3">
      <c r="O719" s="98"/>
      <c r="T719" s="250"/>
      <c r="U719" s="252">
        <f t="shared" si="47"/>
        <v>44664</v>
      </c>
      <c r="V719" s="6"/>
      <c r="W719" s="580">
        <v>260223</v>
      </c>
      <c r="X719" s="581"/>
      <c r="Y719" s="44">
        <v>3.0000000000000001E-3</v>
      </c>
      <c r="Z719" s="581"/>
      <c r="AA719" s="582">
        <f t="shared" ref="AA719" si="119">+W718-W719</f>
        <v>-31314</v>
      </c>
      <c r="AB719" s="581"/>
      <c r="AC719" s="583"/>
      <c r="AD719" s="251"/>
    </row>
    <row r="720" spans="15:30" x14ac:dyDescent="0.3">
      <c r="O720" s="98"/>
      <c r="T720" s="250"/>
      <c r="U720" s="252">
        <f t="shared" si="47"/>
        <v>44665</v>
      </c>
      <c r="V720" s="6"/>
      <c r="W720" s="580">
        <v>283494</v>
      </c>
      <c r="X720" s="581"/>
      <c r="Y720" s="44">
        <v>3.0000000000000001E-3</v>
      </c>
      <c r="Z720" s="581"/>
      <c r="AA720" s="582">
        <f t="shared" ref="AA720" si="120">+W719-W720</f>
        <v>-23271</v>
      </c>
      <c r="AB720" s="581"/>
      <c r="AC720" s="583"/>
      <c r="AD720" s="251"/>
    </row>
    <row r="721" spans="15:30" x14ac:dyDescent="0.3">
      <c r="O721" s="98"/>
      <c r="T721" s="250"/>
      <c r="U721" s="252">
        <f t="shared" si="47"/>
        <v>44666</v>
      </c>
      <c r="V721" s="6"/>
      <c r="W721" s="580">
        <v>297610</v>
      </c>
      <c r="X721" s="581"/>
      <c r="Y721" s="44">
        <v>3.0000000000000001E-3</v>
      </c>
      <c r="Z721" s="581"/>
      <c r="AA721" s="582">
        <f t="shared" ref="AA721" si="121">+W720-W721</f>
        <v>-14116</v>
      </c>
      <c r="AB721" s="581"/>
      <c r="AC721" s="583"/>
      <c r="AD721" s="251"/>
    </row>
    <row r="722" spans="15:30" x14ac:dyDescent="0.3">
      <c r="O722" s="98"/>
      <c r="T722" s="250"/>
      <c r="U722" s="252">
        <f t="shared" si="47"/>
        <v>44667</v>
      </c>
      <c r="V722" s="6"/>
      <c r="W722" s="580">
        <v>266492</v>
      </c>
      <c r="X722" s="581"/>
      <c r="Y722" s="44">
        <v>3.0000000000000001E-3</v>
      </c>
      <c r="Z722" s="581"/>
      <c r="AA722" s="582">
        <f t="shared" ref="AA722" si="122">+W721-W722</f>
        <v>31118</v>
      </c>
      <c r="AB722" s="581"/>
      <c r="AC722" s="583"/>
      <c r="AD722" s="251"/>
    </row>
    <row r="723" spans="15:30" x14ac:dyDescent="0.3">
      <c r="O723" s="98"/>
      <c r="T723" s="250"/>
      <c r="U723" s="573">
        <f t="shared" si="47"/>
        <v>44668</v>
      </c>
      <c r="V723" s="6"/>
      <c r="W723" s="580">
        <v>253868</v>
      </c>
      <c r="X723" s="581"/>
      <c r="Y723" s="44">
        <v>3.0000000000000001E-3</v>
      </c>
      <c r="Z723" s="581"/>
      <c r="AA723" s="582">
        <f t="shared" ref="AA723" si="123">+W722-W723</f>
        <v>12624</v>
      </c>
      <c r="AB723" s="581"/>
      <c r="AC723" s="583"/>
      <c r="AD723" s="251"/>
    </row>
    <row r="724" spans="15:30" x14ac:dyDescent="0.3">
      <c r="O724" s="98"/>
      <c r="T724" s="250"/>
      <c r="U724" s="252">
        <f>+U723+1</f>
        <v>44669</v>
      </c>
      <c r="V724" s="6"/>
      <c r="W724" s="580">
        <v>243583</v>
      </c>
      <c r="X724" s="581"/>
      <c r="Y724" s="44">
        <v>3.0000000000000001E-3</v>
      </c>
      <c r="Z724" s="581"/>
      <c r="AA724" s="582">
        <f t="shared" ref="AA724" si="124">+W723-W724</f>
        <v>10285</v>
      </c>
      <c r="AB724" s="581"/>
      <c r="AC724" s="583"/>
      <c r="AD724" s="251"/>
    </row>
    <row r="725" spans="15:30" x14ac:dyDescent="0.3">
      <c r="O725" s="98"/>
      <c r="T725" s="250"/>
      <c r="U725" s="252">
        <f t="shared" ref="U725:U744" si="125">+U724+1</f>
        <v>44670</v>
      </c>
      <c r="V725" s="6"/>
      <c r="W725" s="580">
        <v>261202</v>
      </c>
      <c r="X725" s="581"/>
      <c r="Y725" s="44">
        <v>3.0000000000000001E-3</v>
      </c>
      <c r="Z725" s="581"/>
      <c r="AA725" s="582">
        <f t="shared" ref="AA725" si="126">+W724-W725</f>
        <v>-17619</v>
      </c>
      <c r="AB725" s="581"/>
      <c r="AC725" s="583"/>
      <c r="AD725" s="251"/>
    </row>
    <row r="726" spans="15:30" x14ac:dyDescent="0.3">
      <c r="O726" s="98"/>
      <c r="T726" s="250"/>
      <c r="U726" s="252">
        <f t="shared" si="125"/>
        <v>44671</v>
      </c>
      <c r="V726" s="6"/>
      <c r="W726" s="580">
        <v>298098</v>
      </c>
      <c r="X726" s="581"/>
      <c r="Y726" s="44">
        <v>3.0000000000000001E-3</v>
      </c>
      <c r="Z726" s="581"/>
      <c r="AA726" s="582">
        <f t="shared" ref="AA726" si="127">+W725-W726</f>
        <v>-36896</v>
      </c>
      <c r="AB726" s="581"/>
      <c r="AC726" s="583"/>
      <c r="AD726" s="251"/>
    </row>
    <row r="727" spans="15:30" x14ac:dyDescent="0.3">
      <c r="O727" s="98"/>
      <c r="T727" s="250"/>
      <c r="U727" s="252">
        <f t="shared" si="125"/>
        <v>44672</v>
      </c>
      <c r="V727" s="6"/>
      <c r="W727" s="580">
        <v>320151</v>
      </c>
      <c r="X727" s="581"/>
      <c r="Y727" s="44">
        <v>3.0000000000000001E-3</v>
      </c>
      <c r="Z727" s="581"/>
      <c r="AA727" s="582">
        <f t="shared" ref="AA727" si="128">+W726-W727</f>
        <v>-22053</v>
      </c>
      <c r="AB727" s="581"/>
      <c r="AC727" s="583"/>
      <c r="AD727" s="251"/>
    </row>
    <row r="728" spans="15:30" x14ac:dyDescent="0.3">
      <c r="O728" s="98"/>
      <c r="T728" s="250"/>
      <c r="U728" s="252">
        <f t="shared" si="125"/>
        <v>44673</v>
      </c>
      <c r="V728" s="6"/>
      <c r="W728" s="580">
        <v>345340</v>
      </c>
      <c r="X728" s="581"/>
      <c r="Y728" s="44">
        <v>3.0000000000000001E-3</v>
      </c>
      <c r="Z728" s="581"/>
      <c r="AA728" s="582">
        <f t="shared" ref="AA728" si="129">+W727-W728</f>
        <v>-25189</v>
      </c>
      <c r="AB728" s="581"/>
      <c r="AC728" s="583"/>
      <c r="AD728" s="251"/>
    </row>
    <row r="729" spans="15:30" x14ac:dyDescent="0.3">
      <c r="O729" s="98"/>
      <c r="T729" s="250"/>
      <c r="U729" s="252">
        <f t="shared" si="125"/>
        <v>44674</v>
      </c>
      <c r="V729" s="6"/>
      <c r="W729" s="580">
        <v>325692</v>
      </c>
      <c r="X729" s="581"/>
      <c r="Y729" s="44">
        <v>3.0000000000000001E-3</v>
      </c>
      <c r="Z729" s="581"/>
      <c r="AA729" s="582">
        <f t="shared" ref="AA729" si="130">+W728-W729</f>
        <v>19648</v>
      </c>
      <c r="AB729" s="581"/>
      <c r="AC729" s="583"/>
      <c r="AD729" s="251"/>
    </row>
    <row r="730" spans="15:30" x14ac:dyDescent="0.3">
      <c r="O730" s="98"/>
      <c r="T730" s="250"/>
      <c r="U730" s="573">
        <f t="shared" si="125"/>
        <v>44675</v>
      </c>
      <c r="V730" s="6"/>
      <c r="W730" s="580">
        <v>296186</v>
      </c>
      <c r="X730" s="581"/>
      <c r="Y730" s="44">
        <v>3.0000000000000001E-3</v>
      </c>
      <c r="Z730" s="581"/>
      <c r="AA730" s="582">
        <f t="shared" ref="AA730" si="131">+W729-W730</f>
        <v>29506</v>
      </c>
      <c r="AB730" s="581"/>
      <c r="AC730" s="583"/>
      <c r="AD730" s="251"/>
    </row>
    <row r="731" spans="15:30" x14ac:dyDescent="0.3">
      <c r="O731" s="98"/>
      <c r="T731" s="250"/>
      <c r="U731" s="252">
        <f t="shared" si="125"/>
        <v>44676</v>
      </c>
      <c r="V731" s="6"/>
      <c r="W731" s="580">
        <v>291500</v>
      </c>
      <c r="X731" s="581"/>
      <c r="Y731" s="44">
        <v>3.0000000000000001E-3</v>
      </c>
      <c r="Z731" s="581"/>
      <c r="AA731" s="582">
        <f t="shared" ref="AA731" si="132">+W730-W731</f>
        <v>4686</v>
      </c>
      <c r="AB731" s="581"/>
      <c r="AC731" s="583"/>
      <c r="AD731" s="251"/>
    </row>
    <row r="732" spans="15:30" x14ac:dyDescent="0.3">
      <c r="O732" s="98"/>
      <c r="T732" s="250"/>
      <c r="U732" s="252">
        <f t="shared" si="125"/>
        <v>44677</v>
      </c>
      <c r="V732" s="6"/>
      <c r="W732" s="580">
        <v>321193</v>
      </c>
      <c r="X732" s="581"/>
      <c r="Y732" s="44">
        <v>3.0000000000000001E-3</v>
      </c>
      <c r="Z732" s="581"/>
      <c r="AA732" s="582">
        <f t="shared" ref="AA732" si="133">+W731-W732</f>
        <v>-29693</v>
      </c>
      <c r="AB732" s="581"/>
      <c r="AC732" s="583"/>
      <c r="AD732" s="251"/>
    </row>
    <row r="733" spans="15:30" x14ac:dyDescent="0.3">
      <c r="O733" s="98"/>
      <c r="T733" s="250"/>
      <c r="U733" s="252">
        <f t="shared" si="125"/>
        <v>44678</v>
      </c>
      <c r="V733" s="6"/>
      <c r="W733" s="580">
        <v>371759</v>
      </c>
      <c r="X733" s="581"/>
      <c r="Y733" s="44">
        <v>3.0000000000000001E-3</v>
      </c>
      <c r="Z733" s="581"/>
      <c r="AA733" s="582">
        <f t="shared" ref="AA733" si="134">+W732-W733</f>
        <v>-50566</v>
      </c>
      <c r="AB733" s="581"/>
      <c r="AC733" s="583"/>
      <c r="AD733" s="251"/>
    </row>
    <row r="734" spans="15:30" x14ac:dyDescent="0.3">
      <c r="O734" s="98"/>
      <c r="T734" s="250"/>
      <c r="U734" s="252">
        <f t="shared" si="125"/>
        <v>44679</v>
      </c>
      <c r="V734" s="6"/>
      <c r="W734" s="580">
        <v>412227</v>
      </c>
      <c r="X734" s="581"/>
      <c r="Y734" s="44">
        <v>3.0000000000000001E-3</v>
      </c>
      <c r="Z734" s="581"/>
      <c r="AA734" s="582">
        <f t="shared" ref="AA734" si="135">+W733-W734</f>
        <v>-40468</v>
      </c>
      <c r="AB734" s="581"/>
      <c r="AC734" s="583"/>
      <c r="AD734" s="251"/>
    </row>
    <row r="735" spans="15:30" x14ac:dyDescent="0.3">
      <c r="O735" s="98"/>
      <c r="T735" s="250"/>
      <c r="U735" s="252">
        <f t="shared" si="125"/>
        <v>44680</v>
      </c>
      <c r="V735" s="6"/>
      <c r="W735" s="580">
        <v>442024</v>
      </c>
      <c r="X735" s="581"/>
      <c r="Y735" s="44">
        <v>3.0000000000000001E-3</v>
      </c>
      <c r="Z735" s="581"/>
      <c r="AA735" s="582">
        <f t="shared" ref="AA735" si="136">+W734-W735</f>
        <v>-29797</v>
      </c>
      <c r="AB735" s="581"/>
      <c r="AC735" s="583"/>
      <c r="AD735" s="251"/>
    </row>
    <row r="736" spans="15:30" x14ac:dyDescent="0.3">
      <c r="O736" s="98"/>
      <c r="T736" s="250"/>
      <c r="U736" s="252">
        <f t="shared" si="125"/>
        <v>44681</v>
      </c>
      <c r="V736" s="6"/>
      <c r="W736" s="580">
        <v>420224</v>
      </c>
      <c r="X736" s="581"/>
      <c r="Y736" s="44">
        <v>3.0000000000000001E-3</v>
      </c>
      <c r="Z736" s="581"/>
      <c r="AA736" s="582">
        <f t="shared" ref="AA736" si="137">+W735-W736</f>
        <v>21800</v>
      </c>
      <c r="AB736" s="581"/>
      <c r="AC736" s="583"/>
      <c r="AD736" s="251"/>
    </row>
    <row r="737" spans="15:30" x14ac:dyDescent="0.3">
      <c r="O737" s="98"/>
      <c r="P737" s="59">
        <f>+P758/W737</f>
        <v>0.88185276462587814</v>
      </c>
      <c r="T737" s="250"/>
      <c r="U737" s="573">
        <f t="shared" si="125"/>
        <v>44682</v>
      </c>
      <c r="V737" s="6"/>
      <c r="W737" s="580">
        <v>391156</v>
      </c>
      <c r="X737" s="581"/>
      <c r="Y737" s="44">
        <v>3.0000000000000001E-3</v>
      </c>
      <c r="Z737" s="581"/>
      <c r="AA737" s="582">
        <f t="shared" ref="AA737" si="138">+W736-W737</f>
        <v>29068</v>
      </c>
      <c r="AB737" s="581"/>
      <c r="AC737" s="583"/>
      <c r="AD737" s="251"/>
    </row>
    <row r="738" spans="15:30" x14ac:dyDescent="0.3">
      <c r="O738" s="98"/>
      <c r="T738" s="250"/>
      <c r="U738" s="252">
        <f t="shared" si="125"/>
        <v>44683</v>
      </c>
      <c r="V738" s="6"/>
      <c r="W738" s="580">
        <v>377823</v>
      </c>
      <c r="X738" s="581"/>
      <c r="Y738" s="44">
        <v>3.0000000000000001E-3</v>
      </c>
      <c r="Z738" s="581"/>
      <c r="AA738" s="582">
        <f t="shared" ref="AA738" si="139">+W737-W738</f>
        <v>13333</v>
      </c>
      <c r="AB738" s="581"/>
      <c r="AC738" s="583"/>
      <c r="AD738" s="251"/>
    </row>
    <row r="739" spans="15:30" x14ac:dyDescent="0.3">
      <c r="O739" s="98"/>
      <c r="T739" s="250"/>
      <c r="U739" s="252">
        <f t="shared" si="125"/>
        <v>44684</v>
      </c>
      <c r="V739" s="6"/>
      <c r="W739" s="580">
        <v>423908</v>
      </c>
      <c r="X739" s="581"/>
      <c r="Y739" s="44">
        <v>3.0000000000000001E-3</v>
      </c>
      <c r="Z739" s="581"/>
      <c r="AA739" s="582">
        <f t="shared" ref="AA739" si="140">+W738-W739</f>
        <v>-46085</v>
      </c>
      <c r="AB739" s="581"/>
      <c r="AC739" s="583"/>
      <c r="AD739" s="251"/>
    </row>
    <row r="740" spans="15:30" x14ac:dyDescent="0.3">
      <c r="O740" s="98"/>
      <c r="T740" s="250"/>
      <c r="U740" s="252">
        <f t="shared" si="125"/>
        <v>44685</v>
      </c>
      <c r="V740" s="6"/>
      <c r="W740" s="580">
        <v>495706</v>
      </c>
      <c r="X740" s="581"/>
      <c r="Y740" s="44">
        <v>3.0000000000000001E-3</v>
      </c>
      <c r="Z740" s="581"/>
      <c r="AA740" s="582">
        <f t="shared" ref="AA740" si="141">+W739-W740</f>
        <v>-71798</v>
      </c>
      <c r="AB740" s="581"/>
      <c r="AC740" s="583"/>
      <c r="AD740" s="251"/>
    </row>
    <row r="741" spans="15:30" x14ac:dyDescent="0.3">
      <c r="O741" s="98"/>
      <c r="T741" s="250"/>
      <c r="U741" s="252">
        <f t="shared" si="125"/>
        <v>44686</v>
      </c>
      <c r="V741" s="6"/>
      <c r="W741" s="580">
        <v>549471</v>
      </c>
      <c r="X741" s="581"/>
      <c r="Y741" s="44">
        <v>3.0000000000000001E-3</v>
      </c>
      <c r="Z741" s="581"/>
      <c r="AA741" s="582">
        <f t="shared" ref="AA741" si="142">+W740-W741</f>
        <v>-53765</v>
      </c>
      <c r="AB741" s="581"/>
      <c r="AC741" s="583"/>
      <c r="AD741" s="251"/>
    </row>
    <row r="742" spans="15:30" x14ac:dyDescent="0.3">
      <c r="O742" s="98"/>
      <c r="T742" s="250"/>
      <c r="U742" s="252">
        <f t="shared" si="125"/>
        <v>44687</v>
      </c>
      <c r="V742" s="6"/>
      <c r="W742" s="580">
        <v>591689</v>
      </c>
      <c r="X742" s="581"/>
      <c r="Y742" s="44">
        <v>3.0000000000000001E-3</v>
      </c>
      <c r="Z742" s="581"/>
      <c r="AA742" s="582">
        <f t="shared" ref="AA742" si="143">+W741-W742</f>
        <v>-42218</v>
      </c>
      <c r="AB742" s="581"/>
      <c r="AC742" s="583"/>
      <c r="AD742" s="251"/>
    </row>
    <row r="743" spans="15:30" x14ac:dyDescent="0.3">
      <c r="O743" s="98"/>
      <c r="T743" s="250"/>
      <c r="U743" s="252">
        <f t="shared" si="125"/>
        <v>44688</v>
      </c>
      <c r="V743" s="6"/>
      <c r="W743" s="580">
        <v>580280</v>
      </c>
      <c r="X743" s="581"/>
      <c r="Y743" s="44">
        <v>3.0000000000000001E-3</v>
      </c>
      <c r="Z743" s="581"/>
      <c r="AA743" s="582">
        <f t="shared" ref="AA743" si="144">+W742-W743</f>
        <v>11409</v>
      </c>
      <c r="AB743" s="581"/>
      <c r="AC743" s="583"/>
      <c r="AD743" s="251"/>
    </row>
    <row r="744" spans="15:30" x14ac:dyDescent="0.3">
      <c r="O744" s="98"/>
      <c r="R744" s="56">
        <f>+W744-W723</f>
        <v>282667</v>
      </c>
      <c r="T744" s="250"/>
      <c r="U744" s="573">
        <f t="shared" si="125"/>
        <v>44689</v>
      </c>
      <c r="V744" s="6"/>
      <c r="W744" s="580">
        <v>536535</v>
      </c>
      <c r="X744" s="581"/>
      <c r="Y744" s="44">
        <v>3.0000000000000001E-3</v>
      </c>
      <c r="Z744" s="581"/>
      <c r="AA744" s="582">
        <f t="shared" ref="AA744" si="145">+W743-W744</f>
        <v>43745</v>
      </c>
      <c r="AB744" s="581"/>
      <c r="AC744" s="583"/>
      <c r="AD744" s="251"/>
    </row>
    <row r="745" spans="15:30" x14ac:dyDescent="0.3">
      <c r="O745" s="98"/>
      <c r="R745" s="59">
        <f>+R744/W723</f>
        <v>1.113440843272882</v>
      </c>
      <c r="T745" s="250"/>
      <c r="U745" s="252">
        <f>+U744+1</f>
        <v>44690</v>
      </c>
      <c r="V745" s="6"/>
      <c r="W745" s="580">
        <v>532079</v>
      </c>
      <c r="X745" s="581"/>
      <c r="Y745" s="44">
        <v>3.0000000000000001E-3</v>
      </c>
      <c r="Z745" s="581"/>
      <c r="AA745" s="582">
        <f t="shared" ref="AA745" si="146">+W744-W745</f>
        <v>4456</v>
      </c>
      <c r="AB745" s="581"/>
      <c r="AC745" s="583"/>
      <c r="AD745" s="251"/>
    </row>
    <row r="746" spans="15:30" x14ac:dyDescent="0.3">
      <c r="O746" s="98"/>
      <c r="R746" s="59"/>
      <c r="T746" s="250"/>
      <c r="U746" s="252">
        <f t="shared" ref="U746:U753" si="147">+U745+1</f>
        <v>44691</v>
      </c>
      <c r="V746" s="6"/>
      <c r="W746" s="580">
        <f>469133+75000</f>
        <v>544133</v>
      </c>
      <c r="X746" s="581"/>
      <c r="Y746" s="44">
        <v>3.0000000000000001E-3</v>
      </c>
      <c r="Z746" s="581"/>
      <c r="AA746" s="582">
        <f t="shared" ref="AA746" si="148">+W745-W746</f>
        <v>-12054</v>
      </c>
      <c r="AB746" s="581"/>
      <c r="AC746" s="583"/>
      <c r="AD746" s="251"/>
    </row>
    <row r="747" spans="15:30" x14ac:dyDescent="0.3">
      <c r="O747" s="98"/>
      <c r="R747" s="59"/>
      <c r="T747" s="250"/>
      <c r="U747" s="252">
        <f t="shared" si="147"/>
        <v>44692</v>
      </c>
      <c r="V747" s="6"/>
      <c r="W747" s="580">
        <v>592338</v>
      </c>
      <c r="X747" s="581"/>
      <c r="Y747" s="44">
        <v>3.0000000000000001E-3</v>
      </c>
      <c r="Z747" s="581"/>
      <c r="AA747" s="582">
        <f t="shared" ref="AA747" si="149">+W746-W747</f>
        <v>-48205</v>
      </c>
      <c r="AB747" s="581"/>
      <c r="AC747" s="583"/>
      <c r="AD747" s="251"/>
    </row>
    <row r="748" spans="15:30" x14ac:dyDescent="0.3">
      <c r="O748" s="98"/>
      <c r="R748" s="59"/>
      <c r="T748" s="250"/>
      <c r="U748" s="252">
        <f t="shared" si="147"/>
        <v>44693</v>
      </c>
      <c r="V748" s="6"/>
      <c r="W748" s="580">
        <v>662118</v>
      </c>
      <c r="X748" s="581"/>
      <c r="Y748" s="44">
        <v>3.0000000000000001E-3</v>
      </c>
      <c r="Z748" s="581"/>
      <c r="AA748" s="582">
        <f t="shared" ref="AA748" si="150">+W747-W748</f>
        <v>-69780</v>
      </c>
      <c r="AB748" s="581"/>
      <c r="AC748" s="583"/>
      <c r="AD748" s="251"/>
    </row>
    <row r="749" spans="15:30" x14ac:dyDescent="0.3">
      <c r="O749" s="98"/>
      <c r="R749" s="59"/>
      <c r="T749" s="250"/>
      <c r="U749" s="252">
        <f t="shared" si="147"/>
        <v>44694</v>
      </c>
      <c r="V749" s="6"/>
      <c r="W749" s="580">
        <v>708963</v>
      </c>
      <c r="X749" s="581"/>
      <c r="Y749" s="44">
        <v>3.0000000000000001E-3</v>
      </c>
      <c r="Z749" s="581"/>
      <c r="AA749" s="582">
        <f t="shared" ref="AA749" si="151">+W748-W749</f>
        <v>-46845</v>
      </c>
      <c r="AB749" s="581"/>
      <c r="AC749" s="583"/>
      <c r="AD749" s="251"/>
    </row>
    <row r="750" spans="15:30" x14ac:dyDescent="0.3">
      <c r="O750" s="98"/>
      <c r="R750" s="59"/>
      <c r="T750" s="250"/>
      <c r="U750" s="252">
        <f t="shared" si="147"/>
        <v>44695</v>
      </c>
      <c r="V750" s="6"/>
      <c r="W750" s="580">
        <v>671677</v>
      </c>
      <c r="X750" s="581"/>
      <c r="Y750" s="44">
        <v>3.0000000000000001E-3</v>
      </c>
      <c r="Z750" s="581"/>
      <c r="AA750" s="582">
        <f t="shared" ref="AA750" si="152">+W749-W750</f>
        <v>37286</v>
      </c>
      <c r="AB750" s="581"/>
      <c r="AC750" s="583"/>
      <c r="AD750" s="251"/>
    </row>
    <row r="751" spans="15:30" x14ac:dyDescent="0.3">
      <c r="O751" s="98"/>
      <c r="R751" s="59">
        <f>+R758/W751</f>
        <v>0.18487171769038724</v>
      </c>
      <c r="T751" s="250"/>
      <c r="U751" s="573">
        <f t="shared" si="147"/>
        <v>44696</v>
      </c>
      <c r="V751" s="6"/>
      <c r="W751" s="580">
        <v>621247</v>
      </c>
      <c r="X751" s="581"/>
      <c r="Y751" s="44">
        <v>3.0000000000000001E-3</v>
      </c>
      <c r="Z751" s="581"/>
      <c r="AA751" s="582">
        <f t="shared" ref="AA751" si="153">+W750-W751</f>
        <v>50430</v>
      </c>
      <c r="AB751" s="581"/>
      <c r="AC751" s="583"/>
      <c r="AD751" s="251"/>
    </row>
    <row r="752" spans="15:30" x14ac:dyDescent="0.3">
      <c r="O752" s="98"/>
      <c r="T752" s="250"/>
      <c r="U752" s="252">
        <f t="shared" si="147"/>
        <v>44697</v>
      </c>
      <c r="V752" s="6"/>
      <c r="W752" s="580">
        <v>619600</v>
      </c>
      <c r="X752" s="581"/>
      <c r="Y752" s="44">
        <v>3.0000000000000001E-3</v>
      </c>
      <c r="Z752" s="581"/>
      <c r="AA752" s="582">
        <f t="shared" ref="AA752" si="154">+W751-W752</f>
        <v>1647</v>
      </c>
      <c r="AB752" s="581"/>
      <c r="AC752" s="583"/>
      <c r="AD752" s="251"/>
    </row>
    <row r="753" spans="15:30" x14ac:dyDescent="0.3">
      <c r="O753" s="98"/>
      <c r="T753" s="250"/>
      <c r="U753" s="252">
        <f t="shared" si="147"/>
        <v>44698</v>
      </c>
      <c r="V753" s="6"/>
      <c r="W753" s="580">
        <v>617966</v>
      </c>
      <c r="X753" s="581"/>
      <c r="Y753" s="44">
        <v>3.0000000000000001E-3</v>
      </c>
      <c r="Z753" s="581"/>
      <c r="AA753" s="582">
        <f t="shared" ref="AA753" si="155">+W752-W753</f>
        <v>1634</v>
      </c>
      <c r="AB753" s="581"/>
      <c r="AC753" s="583"/>
      <c r="AD753" s="251"/>
    </row>
    <row r="754" spans="15:30" x14ac:dyDescent="0.3">
      <c r="O754" s="98"/>
      <c r="T754" s="250"/>
      <c r="U754" s="252">
        <f>+U753+1</f>
        <v>44699</v>
      </c>
      <c r="V754" s="6"/>
      <c r="W754" s="580">
        <v>586979</v>
      </c>
      <c r="X754" s="581"/>
      <c r="Y754" s="44">
        <v>3.0000000000000001E-3</v>
      </c>
      <c r="Z754" s="581"/>
      <c r="AA754" s="582">
        <f t="shared" ref="AA754" si="156">+W753-W754</f>
        <v>30987</v>
      </c>
      <c r="AB754" s="581"/>
      <c r="AC754" s="583"/>
      <c r="AD754" s="251"/>
    </row>
    <row r="755" spans="15:30" x14ac:dyDescent="0.3">
      <c r="O755" s="98"/>
      <c r="T755" s="250"/>
      <c r="U755" s="252">
        <f t="shared" ref="U755:U810" si="157">+U754+1</f>
        <v>44700</v>
      </c>
      <c r="V755" s="6"/>
      <c r="W755" s="580">
        <v>786097</v>
      </c>
      <c r="X755" s="581"/>
      <c r="Y755" s="44">
        <v>3.0000000000000001E-3</v>
      </c>
      <c r="Z755" s="581"/>
      <c r="AA755" s="582">
        <f t="shared" ref="AA755" si="158">+W754-W755</f>
        <v>-199118</v>
      </c>
      <c r="AB755" s="581"/>
      <c r="AC755" s="583"/>
      <c r="AD755" s="251"/>
    </row>
    <row r="756" spans="15:30" x14ac:dyDescent="0.3">
      <c r="O756" s="98"/>
      <c r="T756" s="250"/>
      <c r="U756" s="252">
        <f t="shared" si="157"/>
        <v>44701</v>
      </c>
      <c r="V756" s="6"/>
      <c r="W756" s="580">
        <v>823796</v>
      </c>
      <c r="X756" s="581"/>
      <c r="Y756" s="44">
        <v>3.0000000000000001E-3</v>
      </c>
      <c r="Z756" s="581"/>
      <c r="AA756" s="582">
        <f t="shared" ref="AA756" si="159">+W755-W756</f>
        <v>-37699</v>
      </c>
      <c r="AB756" s="581"/>
      <c r="AC756" s="583"/>
      <c r="AD756" s="251"/>
    </row>
    <row r="757" spans="15:30" x14ac:dyDescent="0.3">
      <c r="O757" s="98"/>
      <c r="T757" s="250"/>
      <c r="U757" s="252">
        <f t="shared" si="157"/>
        <v>44702</v>
      </c>
      <c r="V757" s="6"/>
      <c r="W757" s="580">
        <v>804090</v>
      </c>
      <c r="X757" s="581"/>
      <c r="Y757" s="44">
        <v>3.0000000000000001E-3</v>
      </c>
      <c r="Z757" s="581"/>
      <c r="AA757" s="582">
        <f t="shared" ref="AA757" si="160">+W756-W757</f>
        <v>19706</v>
      </c>
      <c r="AB757" s="581"/>
      <c r="AC757" s="583"/>
      <c r="AD757" s="251"/>
    </row>
    <row r="758" spans="15:30" x14ac:dyDescent="0.3">
      <c r="O758" s="98"/>
      <c r="P758" s="56">
        <f>+W758-W737</f>
        <v>344942</v>
      </c>
      <c r="R758" s="56">
        <f>+W758-W751</f>
        <v>114851</v>
      </c>
      <c r="T758" s="250"/>
      <c r="U758" s="573">
        <f t="shared" si="157"/>
        <v>44703</v>
      </c>
      <c r="V758" s="6"/>
      <c r="W758" s="580">
        <v>736098</v>
      </c>
      <c r="X758" s="581"/>
      <c r="Y758" s="44">
        <v>3.0000000000000001E-3</v>
      </c>
      <c r="Z758" s="581"/>
      <c r="AA758" s="582">
        <f t="shared" ref="AA758" si="161">+W757-W758</f>
        <v>67992</v>
      </c>
      <c r="AB758" s="581"/>
      <c r="AC758" s="583"/>
      <c r="AD758" s="251"/>
    </row>
    <row r="759" spans="15:30" x14ac:dyDescent="0.3">
      <c r="O759" s="98"/>
      <c r="T759" s="250"/>
      <c r="U759" s="252">
        <f t="shared" si="157"/>
        <v>44704</v>
      </c>
      <c r="V759" s="6"/>
      <c r="W759" s="580">
        <v>703544</v>
      </c>
      <c r="X759" s="581"/>
      <c r="Y759" s="44">
        <v>3.0000000000000001E-3</v>
      </c>
      <c r="Z759" s="581"/>
      <c r="AA759" s="582">
        <f t="shared" ref="AA759" si="162">+W758-W759</f>
        <v>32554</v>
      </c>
      <c r="AB759" s="581"/>
      <c r="AC759" s="583"/>
      <c r="AD759" s="251"/>
    </row>
    <row r="760" spans="15:30" x14ac:dyDescent="0.3">
      <c r="O760" s="98"/>
      <c r="T760" s="250"/>
      <c r="U760" s="252">
        <f t="shared" si="157"/>
        <v>44705</v>
      </c>
      <c r="V760" s="6"/>
      <c r="W760" s="580">
        <v>691631</v>
      </c>
      <c r="X760" s="581"/>
      <c r="Y760" s="44">
        <v>3.0000000000000001E-3</v>
      </c>
      <c r="Z760" s="581"/>
      <c r="AA760" s="582">
        <f t="shared" ref="AA760" si="163">+W759-W760</f>
        <v>11913</v>
      </c>
      <c r="AB760" s="581"/>
      <c r="AC760" s="583"/>
      <c r="AD760" s="251"/>
    </row>
    <row r="761" spans="15:30" x14ac:dyDescent="0.3">
      <c r="O761" s="98"/>
      <c r="T761" s="250"/>
      <c r="U761" s="252">
        <f t="shared" si="157"/>
        <v>44706</v>
      </c>
      <c r="V761" s="6"/>
      <c r="W761" s="580">
        <v>766177</v>
      </c>
      <c r="X761" s="581"/>
      <c r="Y761" s="44">
        <v>3.0000000000000001E-3</v>
      </c>
      <c r="Z761" s="581"/>
      <c r="AA761" s="582">
        <f t="shared" ref="AA761" si="164">+W760-W761</f>
        <v>-74546</v>
      </c>
      <c r="AB761" s="581"/>
      <c r="AC761" s="583"/>
      <c r="AD761" s="251"/>
    </row>
    <row r="762" spans="15:30" x14ac:dyDescent="0.3">
      <c r="O762" s="98"/>
      <c r="T762" s="250"/>
      <c r="U762" s="252">
        <f t="shared" si="157"/>
        <v>44707</v>
      </c>
      <c r="V762" s="6"/>
      <c r="W762" s="580">
        <v>832295</v>
      </c>
      <c r="X762" s="581"/>
      <c r="Y762" s="44">
        <v>3.0000000000000001E-3</v>
      </c>
      <c r="Z762" s="581"/>
      <c r="AA762" s="582">
        <f t="shared" ref="AA762" si="165">+W761-W762</f>
        <v>-66118</v>
      </c>
      <c r="AB762" s="581"/>
      <c r="AC762" s="583"/>
      <c r="AD762" s="251"/>
    </row>
    <row r="763" spans="15:30" x14ac:dyDescent="0.3">
      <c r="O763" s="98"/>
      <c r="T763" s="250"/>
      <c r="U763" s="252">
        <f t="shared" si="157"/>
        <v>44708</v>
      </c>
      <c r="V763" s="6"/>
      <c r="W763" s="580">
        <v>865652</v>
      </c>
      <c r="X763" s="581"/>
      <c r="Y763" s="44">
        <v>3.0000000000000001E-3</v>
      </c>
      <c r="Z763" s="581"/>
      <c r="AA763" s="582">
        <f t="shared" ref="AA763" si="166">+W762-W763</f>
        <v>-33357</v>
      </c>
      <c r="AB763" s="581"/>
      <c r="AC763" s="583"/>
      <c r="AD763" s="251"/>
    </row>
    <row r="764" spans="15:30" x14ac:dyDescent="0.3">
      <c r="O764" s="98"/>
      <c r="T764" s="250"/>
      <c r="U764" s="252">
        <f t="shared" si="157"/>
        <v>44709</v>
      </c>
      <c r="V764" s="6"/>
      <c r="W764" s="580">
        <v>801880</v>
      </c>
      <c r="X764" s="581"/>
      <c r="Y764" s="44">
        <v>3.0000000000000001E-3</v>
      </c>
      <c r="Z764" s="581"/>
      <c r="AA764" s="582">
        <f t="shared" ref="AA764" si="167">+W763-W764</f>
        <v>63772</v>
      </c>
      <c r="AB764" s="581"/>
      <c r="AC764" s="583"/>
      <c r="AD764" s="251"/>
    </row>
    <row r="765" spans="15:30" x14ac:dyDescent="0.3">
      <c r="O765" s="98"/>
      <c r="T765" s="250"/>
      <c r="U765" s="573">
        <f t="shared" si="157"/>
        <v>44710</v>
      </c>
      <c r="V765" s="6"/>
      <c r="W765" s="580">
        <v>702739</v>
      </c>
      <c r="X765" s="581"/>
      <c r="Y765" s="44">
        <v>3.0000000000000001E-3</v>
      </c>
      <c r="Z765" s="581"/>
      <c r="AA765" s="582">
        <f t="shared" ref="AA765" si="168">+W764-W765</f>
        <v>99141</v>
      </c>
      <c r="AB765" s="581"/>
      <c r="AC765" s="583"/>
      <c r="AD765" s="251"/>
    </row>
    <row r="766" spans="15:30" x14ac:dyDescent="0.3">
      <c r="O766" s="98"/>
      <c r="T766" s="250"/>
      <c r="U766" s="252">
        <f t="shared" si="157"/>
        <v>44711</v>
      </c>
      <c r="V766" s="6"/>
      <c r="W766" s="580">
        <v>702710</v>
      </c>
      <c r="X766" s="581"/>
      <c r="Y766" s="44">
        <v>3.0000000000000001E-3</v>
      </c>
      <c r="Z766" s="581"/>
      <c r="AA766" s="582">
        <f t="shared" ref="AA766" si="169">+W765-W766</f>
        <v>29</v>
      </c>
      <c r="AB766" s="581"/>
      <c r="AC766" s="583"/>
      <c r="AD766" s="251"/>
    </row>
    <row r="767" spans="15:30" x14ac:dyDescent="0.3">
      <c r="O767" s="98"/>
      <c r="T767" s="250"/>
      <c r="U767" s="252">
        <f t="shared" si="157"/>
        <v>44712</v>
      </c>
      <c r="V767" s="6"/>
      <c r="W767" s="580">
        <v>644475</v>
      </c>
      <c r="X767" s="581"/>
      <c r="Y767" s="44">
        <v>3.0000000000000001E-3</v>
      </c>
      <c r="Z767" s="581"/>
      <c r="AA767" s="582">
        <f t="shared" ref="AA767" si="170">+W766-W767</f>
        <v>58235</v>
      </c>
      <c r="AB767" s="581"/>
      <c r="AC767" s="583"/>
      <c r="AD767" s="251"/>
    </row>
    <row r="768" spans="15:30" x14ac:dyDescent="0.3">
      <c r="O768" s="98"/>
      <c r="T768" s="250"/>
      <c r="U768" s="252">
        <f t="shared" si="157"/>
        <v>44713</v>
      </c>
      <c r="V768" s="6"/>
      <c r="W768" s="580">
        <v>640826</v>
      </c>
      <c r="X768" s="581"/>
      <c r="Y768" s="44">
        <v>3.0000000000000001E-3</v>
      </c>
      <c r="Z768" s="581"/>
      <c r="AA768" s="582">
        <f t="shared" ref="AA768" si="171">+W767-W768</f>
        <v>3649</v>
      </c>
      <c r="AB768" s="581"/>
      <c r="AC768" s="583"/>
      <c r="AD768" s="251"/>
    </row>
    <row r="769" spans="15:32" x14ac:dyDescent="0.3">
      <c r="O769" s="98"/>
      <c r="T769" s="250"/>
      <c r="U769" s="252">
        <f t="shared" si="157"/>
        <v>44714</v>
      </c>
      <c r="V769" s="6"/>
      <c r="W769" s="580">
        <v>683573</v>
      </c>
      <c r="X769" s="581"/>
      <c r="Y769" s="44">
        <v>3.0000000000000001E-3</v>
      </c>
      <c r="Z769" s="581"/>
      <c r="AA769" s="582">
        <f t="shared" ref="AA769" si="172">+W768-W769</f>
        <v>-42747</v>
      </c>
      <c r="AB769" s="581"/>
      <c r="AC769" s="583"/>
      <c r="AD769" s="251"/>
    </row>
    <row r="770" spans="15:32" x14ac:dyDescent="0.3">
      <c r="O770" s="98"/>
      <c r="T770" s="250"/>
      <c r="U770" s="252">
        <f t="shared" si="157"/>
        <v>44715</v>
      </c>
      <c r="V770" s="6"/>
      <c r="W770" s="580">
        <v>766862</v>
      </c>
      <c r="X770" s="581"/>
      <c r="Y770" s="44">
        <v>3.0000000000000001E-3</v>
      </c>
      <c r="Z770" s="581"/>
      <c r="AA770" s="582">
        <f t="shared" ref="AA770" si="173">+W769-W770</f>
        <v>-83289</v>
      </c>
      <c r="AB770" s="581"/>
      <c r="AC770" s="583"/>
      <c r="AD770" s="251"/>
    </row>
    <row r="771" spans="15:32" x14ac:dyDescent="0.3">
      <c r="O771" s="98"/>
      <c r="T771" s="250"/>
      <c r="U771" s="252">
        <f t="shared" si="157"/>
        <v>44716</v>
      </c>
      <c r="V771" s="6"/>
      <c r="W771" s="580">
        <v>759828</v>
      </c>
      <c r="X771" s="581"/>
      <c r="Y771" s="44">
        <v>3.0000000000000001E-3</v>
      </c>
      <c r="Z771" s="581"/>
      <c r="AA771" s="582">
        <f t="shared" ref="AA771" si="174">+W770-W771</f>
        <v>7034</v>
      </c>
      <c r="AB771" s="581"/>
      <c r="AC771" s="583"/>
      <c r="AD771" s="251"/>
    </row>
    <row r="772" spans="15:32" x14ac:dyDescent="0.3">
      <c r="O772" s="98"/>
      <c r="T772" s="250"/>
      <c r="U772" s="573">
        <f t="shared" si="157"/>
        <v>44717</v>
      </c>
      <c r="V772" s="6"/>
      <c r="W772" s="580">
        <v>703676</v>
      </c>
      <c r="X772" s="581"/>
      <c r="Y772" s="44">
        <v>3.0000000000000001E-3</v>
      </c>
      <c r="Z772" s="581"/>
      <c r="AA772" s="582">
        <f t="shared" ref="AA772" si="175">+W771-W772</f>
        <v>56152</v>
      </c>
      <c r="AB772" s="581"/>
      <c r="AC772" s="583"/>
      <c r="AD772" s="251"/>
    </row>
    <row r="773" spans="15:32" x14ac:dyDescent="0.3">
      <c r="O773" s="98"/>
      <c r="T773" s="250"/>
      <c r="U773" s="252">
        <f t="shared" si="157"/>
        <v>44718</v>
      </c>
      <c r="V773" s="6"/>
      <c r="W773" s="580">
        <v>683746</v>
      </c>
      <c r="X773" s="581"/>
      <c r="Y773" s="44">
        <v>3.0000000000000001E-3</v>
      </c>
      <c r="Z773" s="581"/>
      <c r="AA773" s="582">
        <f t="shared" ref="AA773" si="176">+W772-W773</f>
        <v>19930</v>
      </c>
      <c r="AB773" s="581"/>
      <c r="AC773" s="583"/>
      <c r="AD773" s="251"/>
    </row>
    <row r="774" spans="15:32" x14ac:dyDescent="0.3">
      <c r="O774" s="98"/>
      <c r="T774" s="250"/>
      <c r="U774" s="252">
        <f t="shared" si="157"/>
        <v>44719</v>
      </c>
      <c r="V774" s="6"/>
      <c r="W774" s="580">
        <v>693313</v>
      </c>
      <c r="X774" s="581"/>
      <c r="Y774" s="44">
        <v>3.0000000000000001E-3</v>
      </c>
      <c r="Z774" s="581"/>
      <c r="AA774" s="582">
        <f t="shared" ref="AA774" si="177">+W773-W774</f>
        <v>-9567</v>
      </c>
      <c r="AB774" s="581"/>
      <c r="AC774" s="583"/>
      <c r="AD774" s="251"/>
    </row>
    <row r="775" spans="15:32" x14ac:dyDescent="0.3">
      <c r="O775" s="98"/>
      <c r="T775" s="250"/>
      <c r="U775" s="252">
        <f t="shared" si="157"/>
        <v>44720</v>
      </c>
      <c r="V775" s="6"/>
      <c r="W775" s="580">
        <v>750000</v>
      </c>
      <c r="X775" s="581"/>
      <c r="Y775" s="44">
        <v>3.0000000000000001E-3</v>
      </c>
      <c r="Z775" s="581"/>
      <c r="AA775" s="582">
        <f t="shared" ref="AA775" si="178">+W774-W775</f>
        <v>-56687</v>
      </c>
      <c r="AB775" s="581"/>
      <c r="AC775" s="583"/>
      <c r="AD775" s="251"/>
    </row>
    <row r="776" spans="15:32" x14ac:dyDescent="0.3">
      <c r="O776" s="98"/>
      <c r="T776" s="250"/>
      <c r="U776" s="252">
        <f t="shared" si="157"/>
        <v>44721</v>
      </c>
      <c r="V776" s="6"/>
      <c r="W776" s="580">
        <v>798504</v>
      </c>
      <c r="X776" s="581"/>
      <c r="Y776" s="44">
        <v>3.0000000000000001E-3</v>
      </c>
      <c r="Z776" s="581"/>
      <c r="AA776" s="582">
        <f t="shared" ref="AA776" si="179">+W775-W776</f>
        <v>-48504</v>
      </c>
      <c r="AB776" s="581"/>
      <c r="AC776" s="583"/>
      <c r="AD776" s="251"/>
    </row>
    <row r="777" spans="15:32" x14ac:dyDescent="0.3">
      <c r="O777" s="98"/>
      <c r="T777" s="250"/>
      <c r="U777" s="252">
        <f t="shared" si="157"/>
        <v>44722</v>
      </c>
      <c r="V777" s="6"/>
      <c r="W777" s="580">
        <v>880995</v>
      </c>
      <c r="X777" s="581"/>
      <c r="Y777" s="44">
        <v>3.0000000000000001E-3</v>
      </c>
      <c r="Z777" s="581"/>
      <c r="AA777" s="582">
        <f t="shared" ref="AA777" si="180">+W776-W777</f>
        <v>-82491</v>
      </c>
      <c r="AB777" s="581"/>
      <c r="AC777" s="583"/>
      <c r="AD777" s="251"/>
      <c r="AE777" s="56">
        <f>+W777-W807</f>
        <v>149471</v>
      </c>
      <c r="AF777" s="59">
        <f>+AE777/W777</f>
        <v>0.16966157583187191</v>
      </c>
    </row>
    <row r="778" spans="15:32" x14ac:dyDescent="0.3">
      <c r="O778" s="98"/>
      <c r="T778" s="250"/>
      <c r="U778" s="252">
        <f t="shared" si="157"/>
        <v>44723</v>
      </c>
      <c r="V778" s="6"/>
      <c r="W778" s="580">
        <v>915705</v>
      </c>
      <c r="X778" s="581"/>
      <c r="Y778" s="44">
        <v>3.0000000000000001E-3</v>
      </c>
      <c r="Z778" s="581"/>
      <c r="AA778" s="582">
        <f t="shared" ref="AA778" si="181">+W777-W778</f>
        <v>-34710</v>
      </c>
      <c r="AB778" s="581"/>
      <c r="AC778" s="583"/>
      <c r="AD778" s="251"/>
      <c r="AE778" s="586"/>
    </row>
    <row r="779" spans="15:32" x14ac:dyDescent="0.3">
      <c r="O779" s="98"/>
      <c r="T779" s="250"/>
      <c r="U779" s="573">
        <f t="shared" si="157"/>
        <v>44724</v>
      </c>
      <c r="V779" s="6"/>
      <c r="W779" s="580">
        <v>881087</v>
      </c>
      <c r="X779" s="581"/>
      <c r="Y779" s="44">
        <v>3.0000000000000001E-3</v>
      </c>
      <c r="Z779" s="581"/>
      <c r="AA779" s="582">
        <f t="shared" ref="AA779" si="182">+W778-W779</f>
        <v>34618</v>
      </c>
      <c r="AB779" s="581"/>
      <c r="AC779" s="583"/>
      <c r="AD779" s="251"/>
    </row>
    <row r="780" spans="15:32" x14ac:dyDescent="0.3">
      <c r="O780" s="98"/>
      <c r="T780" s="250"/>
      <c r="U780" s="252">
        <f t="shared" si="157"/>
        <v>44725</v>
      </c>
      <c r="V780" s="6"/>
      <c r="W780" s="580">
        <v>835493</v>
      </c>
      <c r="X780" s="581"/>
      <c r="Y780" s="44">
        <v>3.0000000000000001E-3</v>
      </c>
      <c r="Z780" s="581"/>
      <c r="AA780" s="582">
        <f t="shared" ref="AA780" si="183">+W779-W780</f>
        <v>45594</v>
      </c>
      <c r="AB780" s="581"/>
      <c r="AC780" s="583"/>
      <c r="AD780" s="251"/>
    </row>
    <row r="781" spans="15:32" x14ac:dyDescent="0.3">
      <c r="O781" s="98"/>
      <c r="T781" s="250"/>
      <c r="U781" s="252">
        <f t="shared" si="157"/>
        <v>44726</v>
      </c>
      <c r="V781" s="6"/>
      <c r="W781" s="580">
        <v>826001</v>
      </c>
      <c r="X781" s="581"/>
      <c r="Y781" s="44">
        <v>3.0000000000000001E-3</v>
      </c>
      <c r="Z781" s="581"/>
      <c r="AA781" s="582">
        <f t="shared" ref="AA781" si="184">+W780-W781</f>
        <v>9492</v>
      </c>
      <c r="AB781" s="581"/>
      <c r="AC781" s="583"/>
      <c r="AD781" s="251"/>
    </row>
    <row r="782" spans="15:32" x14ac:dyDescent="0.3">
      <c r="O782" s="98"/>
      <c r="T782" s="250"/>
      <c r="U782" s="252">
        <f t="shared" si="157"/>
        <v>44727</v>
      </c>
      <c r="V782" s="6"/>
      <c r="W782" s="580">
        <v>821978</v>
      </c>
      <c r="X782" s="581"/>
      <c r="Y782" s="44">
        <v>3.0000000000000001E-3</v>
      </c>
      <c r="Z782" s="581"/>
      <c r="AA782" s="582">
        <f t="shared" ref="AA782" si="185">+W781-W782</f>
        <v>4023</v>
      </c>
      <c r="AB782" s="581"/>
      <c r="AC782" s="583"/>
      <c r="AD782" s="251"/>
    </row>
    <row r="783" spans="15:32" x14ac:dyDescent="0.3">
      <c r="O783" s="98"/>
      <c r="T783" s="250"/>
      <c r="U783" s="252">
        <f t="shared" si="157"/>
        <v>44728</v>
      </c>
      <c r="V783" s="6"/>
      <c r="W783" s="580">
        <v>868307</v>
      </c>
      <c r="X783" s="581"/>
      <c r="Y783" s="44">
        <v>3.0000000000000001E-3</v>
      </c>
      <c r="Z783" s="581"/>
      <c r="AA783" s="582">
        <f t="shared" ref="AA783" si="186">+W782-W783</f>
        <v>-46329</v>
      </c>
      <c r="AB783" s="581"/>
      <c r="AC783" s="583"/>
      <c r="AD783" s="251"/>
    </row>
    <row r="784" spans="15:32" x14ac:dyDescent="0.3">
      <c r="O784" s="98"/>
      <c r="T784" s="250"/>
      <c r="U784" s="252">
        <f t="shared" si="157"/>
        <v>44729</v>
      </c>
      <c r="V784" s="6"/>
      <c r="W784" s="580">
        <v>930544</v>
      </c>
      <c r="X784" s="581"/>
      <c r="Y784" s="44">
        <v>3.0000000000000001E-3</v>
      </c>
      <c r="Z784" s="581"/>
      <c r="AA784" s="582">
        <f t="shared" ref="AA784" si="187">+W783-W784</f>
        <v>-62237</v>
      </c>
      <c r="AB784" s="581"/>
      <c r="AC784" s="583"/>
      <c r="AD784" s="251"/>
    </row>
    <row r="785" spans="15:32" x14ac:dyDescent="0.3">
      <c r="O785" s="98"/>
      <c r="T785" s="250"/>
      <c r="U785" s="252">
        <f t="shared" si="157"/>
        <v>44730</v>
      </c>
      <c r="V785" s="6"/>
      <c r="W785" s="580">
        <v>861932</v>
      </c>
      <c r="X785" s="581"/>
      <c r="Y785" s="44">
        <v>3.0000000000000001E-3</v>
      </c>
      <c r="Z785" s="581"/>
      <c r="AA785" s="582">
        <f t="shared" ref="AA785" si="188">+W784-W785</f>
        <v>68612</v>
      </c>
      <c r="AB785" s="581"/>
      <c r="AC785" s="583"/>
      <c r="AD785" s="251"/>
    </row>
    <row r="786" spans="15:32" x14ac:dyDescent="0.3">
      <c r="O786" s="98"/>
      <c r="T786" s="250"/>
      <c r="U786" s="573">
        <f t="shared" si="157"/>
        <v>44731</v>
      </c>
      <c r="V786" s="6"/>
      <c r="W786" s="580">
        <v>813877</v>
      </c>
      <c r="X786" s="581"/>
      <c r="Y786" s="44">
        <v>3.0000000000000001E-3</v>
      </c>
      <c r="Z786" s="581"/>
      <c r="AA786" s="582">
        <f t="shared" ref="AA786" si="189">+W785-W786</f>
        <v>48055</v>
      </c>
      <c r="AB786" s="581"/>
      <c r="AC786" s="583"/>
      <c r="AD786" s="251"/>
    </row>
    <row r="787" spans="15:32" x14ac:dyDescent="0.3">
      <c r="O787" s="98"/>
      <c r="T787" s="250"/>
      <c r="U787" s="252">
        <f t="shared" si="157"/>
        <v>44732</v>
      </c>
      <c r="V787" s="6"/>
      <c r="W787" s="580">
        <v>737856</v>
      </c>
      <c r="X787" s="581"/>
      <c r="Y787" s="44">
        <v>3.0000000000000001E-3</v>
      </c>
      <c r="Z787" s="581"/>
      <c r="AA787" s="582">
        <f t="shared" ref="AA787" si="190">+W786-W787</f>
        <v>76021</v>
      </c>
      <c r="AB787" s="581"/>
      <c r="AC787" s="583"/>
      <c r="AD787" s="251"/>
    </row>
    <row r="788" spans="15:32" x14ac:dyDescent="0.3">
      <c r="O788" s="98"/>
      <c r="T788" s="250"/>
      <c r="U788" s="252">
        <f t="shared" si="157"/>
        <v>44733</v>
      </c>
      <c r="V788" s="6"/>
      <c r="W788" s="580">
        <v>717438</v>
      </c>
      <c r="X788" s="581"/>
      <c r="Y788" s="44">
        <v>3.0000000000000001E-3</v>
      </c>
      <c r="Z788" s="581"/>
      <c r="AA788" s="582">
        <f t="shared" ref="AA788" si="191">+W787-W788</f>
        <v>20418</v>
      </c>
      <c r="AB788" s="581"/>
      <c r="AC788" s="583"/>
      <c r="AD788" s="251"/>
    </row>
    <row r="789" spans="15:32" x14ac:dyDescent="0.3">
      <c r="O789" s="98"/>
      <c r="T789" s="250"/>
      <c r="U789" s="252">
        <f t="shared" si="157"/>
        <v>44734</v>
      </c>
      <c r="V789" s="6"/>
      <c r="W789" s="580">
        <v>717453</v>
      </c>
      <c r="X789" s="581"/>
      <c r="Y789" s="44">
        <v>3.0000000000000001E-3</v>
      </c>
      <c r="Z789" s="581"/>
      <c r="AA789" s="582">
        <f t="shared" ref="AA789" si="192">+W788-W789</f>
        <v>-15</v>
      </c>
      <c r="AB789" s="581"/>
      <c r="AC789" s="583"/>
      <c r="AD789" s="251"/>
    </row>
    <row r="790" spans="15:32" x14ac:dyDescent="0.3">
      <c r="O790" s="98"/>
      <c r="T790" s="250"/>
      <c r="U790" s="252">
        <f t="shared" si="157"/>
        <v>44735</v>
      </c>
      <c r="V790" s="6"/>
      <c r="W790" s="580">
        <v>774417</v>
      </c>
      <c r="X790" s="581"/>
      <c r="Y790" s="44">
        <v>3.0000000000000001E-3</v>
      </c>
      <c r="Z790" s="581"/>
      <c r="AA790" s="582">
        <f t="shared" ref="AA790" si="193">+W789-W790</f>
        <v>-56964</v>
      </c>
      <c r="AB790" s="581"/>
      <c r="AC790" s="583"/>
      <c r="AD790" s="251"/>
    </row>
    <row r="791" spans="15:32" x14ac:dyDescent="0.3">
      <c r="O791" s="98"/>
      <c r="T791" s="250"/>
      <c r="U791" s="252">
        <f t="shared" si="157"/>
        <v>44736</v>
      </c>
      <c r="V791" s="6"/>
      <c r="W791" s="580">
        <v>861099</v>
      </c>
      <c r="X791" s="581"/>
      <c r="Y791" s="44">
        <v>3.0000000000000001E-3</v>
      </c>
      <c r="Z791" s="581"/>
      <c r="AA791" s="582">
        <f t="shared" ref="AA791" si="194">+W790-W791</f>
        <v>-86682</v>
      </c>
      <c r="AB791" s="581"/>
      <c r="AC791" s="583"/>
      <c r="AD791" s="251"/>
    </row>
    <row r="792" spans="15:32" x14ac:dyDescent="0.3">
      <c r="O792" s="98"/>
      <c r="T792" s="250"/>
      <c r="U792" s="252">
        <f t="shared" si="157"/>
        <v>44737</v>
      </c>
      <c r="V792" s="6"/>
      <c r="W792" s="580">
        <v>855368</v>
      </c>
      <c r="X792" s="581"/>
      <c r="Y792" s="44">
        <v>3.0000000000000001E-3</v>
      </c>
      <c r="Z792" s="581"/>
      <c r="AA792" s="582">
        <f t="shared" ref="AA792" si="195">+W791-W792</f>
        <v>5731</v>
      </c>
      <c r="AB792" s="581"/>
      <c r="AC792" s="583"/>
      <c r="AD792" s="251"/>
    </row>
    <row r="793" spans="15:32" x14ac:dyDescent="0.3">
      <c r="O793" s="98"/>
      <c r="T793" s="250"/>
      <c r="U793" s="573">
        <f t="shared" si="157"/>
        <v>44738</v>
      </c>
      <c r="V793" s="6"/>
      <c r="W793" s="580">
        <v>802275</v>
      </c>
      <c r="X793" s="581"/>
      <c r="Y793" s="44">
        <v>3.0000000000000001E-3</v>
      </c>
      <c r="Z793" s="581"/>
      <c r="AA793" s="582">
        <f t="shared" ref="AA793" si="196">+W792-W793</f>
        <v>53093</v>
      </c>
      <c r="AB793" s="581"/>
      <c r="AC793" s="583"/>
      <c r="AD793" s="251"/>
      <c r="AE793" s="56">
        <f>+W793-W807</f>
        <v>70751</v>
      </c>
      <c r="AF793" s="59">
        <f>+AE793/W793</f>
        <v>8.8187965473185623E-2</v>
      </c>
    </row>
    <row r="794" spans="15:32" x14ac:dyDescent="0.3">
      <c r="O794" s="98"/>
      <c r="T794" s="250"/>
      <c r="U794" s="252">
        <f t="shared" si="157"/>
        <v>44739</v>
      </c>
      <c r="V794" s="6"/>
      <c r="W794" s="580">
        <v>755667</v>
      </c>
      <c r="X794" s="581"/>
      <c r="Y794" s="44">
        <v>3.0000000000000001E-3</v>
      </c>
      <c r="Z794" s="581"/>
      <c r="AA794" s="582">
        <f t="shared" ref="AA794" si="197">+W793-W794</f>
        <v>46608</v>
      </c>
      <c r="AB794" s="581"/>
      <c r="AC794" s="583"/>
      <c r="AD794" s="251"/>
    </row>
    <row r="795" spans="15:32" x14ac:dyDescent="0.3">
      <c r="O795" s="98"/>
      <c r="T795" s="250"/>
      <c r="U795" s="252">
        <f t="shared" si="157"/>
        <v>44740</v>
      </c>
      <c r="V795" s="6"/>
      <c r="W795" s="580">
        <v>741719</v>
      </c>
      <c r="X795" s="581"/>
      <c r="Y795" s="44">
        <v>3.0000000000000001E-3</v>
      </c>
      <c r="Z795" s="581"/>
      <c r="AA795" s="582">
        <f t="shared" ref="AA795" si="198">+W794-W795</f>
        <v>13948</v>
      </c>
      <c r="AB795" s="581"/>
      <c r="AC795" s="583"/>
      <c r="AD795" s="251"/>
    </row>
    <row r="796" spans="15:32" x14ac:dyDescent="0.3">
      <c r="O796" s="98"/>
      <c r="T796" s="250"/>
      <c r="U796" s="252">
        <f t="shared" si="157"/>
        <v>44741</v>
      </c>
      <c r="V796" s="6"/>
      <c r="W796" s="580">
        <v>760319</v>
      </c>
      <c r="X796" s="581"/>
      <c r="Y796" s="44">
        <v>3.0000000000000001E-3</v>
      </c>
      <c r="Z796" s="581"/>
      <c r="AA796" s="582">
        <f t="shared" ref="AA796" si="199">+W795-W796</f>
        <v>-18600</v>
      </c>
      <c r="AB796" s="581"/>
      <c r="AC796" s="583"/>
      <c r="AD796" s="251"/>
    </row>
    <row r="797" spans="15:32" x14ac:dyDescent="0.3">
      <c r="O797" s="98"/>
      <c r="T797" s="250"/>
      <c r="U797" s="252">
        <f t="shared" si="157"/>
        <v>44742</v>
      </c>
      <c r="V797" s="6"/>
      <c r="W797" s="580">
        <v>815453</v>
      </c>
      <c r="X797" s="581"/>
      <c r="Y797" s="44">
        <v>3.0000000000000001E-3</v>
      </c>
      <c r="Z797" s="581"/>
      <c r="AA797" s="582">
        <f t="shared" ref="AA797" si="200">+W796-W797</f>
        <v>-55134</v>
      </c>
      <c r="AB797" s="581"/>
      <c r="AC797" s="583"/>
      <c r="AD797" s="251"/>
    </row>
    <row r="798" spans="15:32" x14ac:dyDescent="0.3">
      <c r="O798" s="98"/>
      <c r="T798" s="250"/>
      <c r="U798" s="252">
        <f t="shared" si="157"/>
        <v>44743</v>
      </c>
      <c r="V798" s="6"/>
      <c r="W798" s="580">
        <v>887561</v>
      </c>
      <c r="X798" s="581"/>
      <c r="Y798" s="44">
        <v>3.0000000000000001E-3</v>
      </c>
      <c r="Z798" s="581"/>
      <c r="AA798" s="582">
        <f t="shared" ref="AA798" si="201">+W797-W798</f>
        <v>-72108</v>
      </c>
      <c r="AB798" s="581"/>
      <c r="AC798" s="583"/>
      <c r="AD798" s="251"/>
    </row>
    <row r="799" spans="15:32" x14ac:dyDescent="0.3">
      <c r="O799" s="98"/>
      <c r="T799" s="250"/>
      <c r="U799" s="252">
        <f t="shared" si="157"/>
        <v>44744</v>
      </c>
      <c r="V799" s="6"/>
      <c r="W799" s="580">
        <v>880042</v>
      </c>
      <c r="X799" s="581"/>
      <c r="Y799" s="44">
        <v>3.0000000000000001E-3</v>
      </c>
      <c r="Z799" s="581"/>
      <c r="AA799" s="582">
        <f t="shared" ref="AA799" si="202">+W798-W799</f>
        <v>7519</v>
      </c>
      <c r="AB799" s="581"/>
      <c r="AC799" s="583"/>
      <c r="AD799" s="251"/>
    </row>
    <row r="800" spans="15:32" x14ac:dyDescent="0.3">
      <c r="O800" s="98"/>
      <c r="T800" s="250"/>
      <c r="U800" s="573">
        <f t="shared" si="157"/>
        <v>44745</v>
      </c>
      <c r="V800" s="6"/>
      <c r="W800" s="580">
        <v>805960</v>
      </c>
      <c r="X800" s="581"/>
      <c r="Y800" s="44">
        <v>3.0000000000000001E-3</v>
      </c>
      <c r="Z800" s="581"/>
      <c r="AA800" s="582">
        <f t="shared" ref="AA800" si="203">+W799-W800</f>
        <v>74082</v>
      </c>
      <c r="AB800" s="581"/>
      <c r="AC800" s="583"/>
      <c r="AD800" s="251"/>
    </row>
    <row r="801" spans="15:30" x14ac:dyDescent="0.3">
      <c r="O801" s="98"/>
      <c r="T801" s="250"/>
      <c r="U801" s="252">
        <f t="shared" si="157"/>
        <v>44746</v>
      </c>
      <c r="V801" s="6"/>
      <c r="W801" s="580">
        <v>725552</v>
      </c>
      <c r="X801" s="581"/>
      <c r="Y801" s="44">
        <v>3.0000000000000001E-3</v>
      </c>
      <c r="Z801" s="581"/>
      <c r="AA801" s="582">
        <f t="shared" ref="AA801" si="204">+W800-W801</f>
        <v>80408</v>
      </c>
      <c r="AB801" s="581"/>
      <c r="AC801" s="583"/>
      <c r="AD801" s="251"/>
    </row>
    <row r="802" spans="15:30" x14ac:dyDescent="0.3">
      <c r="O802" s="98"/>
      <c r="T802" s="250"/>
      <c r="U802" s="252">
        <f t="shared" si="157"/>
        <v>44747</v>
      </c>
      <c r="V802" s="6"/>
      <c r="W802" s="580">
        <v>674570</v>
      </c>
      <c r="X802" s="581"/>
      <c r="Y802" s="44">
        <v>3.0000000000000001E-3</v>
      </c>
      <c r="Z802" s="581"/>
      <c r="AA802" s="582">
        <f t="shared" ref="AA802" si="205">+W801-W802</f>
        <v>50982</v>
      </c>
      <c r="AB802" s="581"/>
      <c r="AC802" s="583"/>
      <c r="AD802" s="251"/>
    </row>
    <row r="803" spans="15:30" x14ac:dyDescent="0.3">
      <c r="O803" s="98"/>
      <c r="T803" s="250"/>
      <c r="U803" s="252">
        <f t="shared" si="157"/>
        <v>44748</v>
      </c>
      <c r="V803" s="6"/>
      <c r="W803" s="580">
        <v>671689</v>
      </c>
      <c r="X803" s="581"/>
      <c r="Y803" s="44">
        <v>3.0000000000000001E-3</v>
      </c>
      <c r="Z803" s="581"/>
      <c r="AA803" s="582">
        <f t="shared" ref="AA803" si="206">+W802-W803</f>
        <v>2881</v>
      </c>
      <c r="AB803" s="581"/>
      <c r="AC803" s="583"/>
      <c r="AD803" s="251"/>
    </row>
    <row r="804" spans="15:30" x14ac:dyDescent="0.3">
      <c r="O804" s="98"/>
      <c r="T804" s="250"/>
      <c r="U804" s="252">
        <f t="shared" si="157"/>
        <v>44749</v>
      </c>
      <c r="V804" s="6"/>
      <c r="W804" s="580">
        <v>719540</v>
      </c>
      <c r="X804" s="581"/>
      <c r="Y804" s="44">
        <v>3.0000000000000001E-3</v>
      </c>
      <c r="Z804" s="581"/>
      <c r="AA804" s="582">
        <f t="shared" ref="AA804" si="207">+W803-W804</f>
        <v>-47851</v>
      </c>
      <c r="AB804" s="581"/>
      <c r="AC804" s="583"/>
      <c r="AD804" s="251"/>
    </row>
    <row r="805" spans="15:30" x14ac:dyDescent="0.3">
      <c r="O805" s="98"/>
      <c r="T805" s="250"/>
      <c r="U805" s="252">
        <f t="shared" si="157"/>
        <v>44750</v>
      </c>
      <c r="V805" s="6"/>
      <c r="W805" s="580">
        <v>807329</v>
      </c>
      <c r="X805" s="581"/>
      <c r="Y805" s="44">
        <v>3.0000000000000001E-3</v>
      </c>
      <c r="Z805" s="581"/>
      <c r="AA805" s="582">
        <f t="shared" ref="AA805" si="208">+W804-W805</f>
        <v>-87789</v>
      </c>
      <c r="AB805" s="581"/>
      <c r="AC805" s="583"/>
      <c r="AD805" s="251"/>
    </row>
    <row r="806" spans="15:30" x14ac:dyDescent="0.3">
      <c r="O806" s="98"/>
      <c r="T806" s="250"/>
      <c r="U806" s="252">
        <f t="shared" si="157"/>
        <v>44751</v>
      </c>
      <c r="V806" s="6"/>
      <c r="W806" s="580">
        <v>786080</v>
      </c>
      <c r="X806" s="581"/>
      <c r="Y806" s="44">
        <v>3.0000000000000001E-3</v>
      </c>
      <c r="Z806" s="581"/>
      <c r="AA806" s="582">
        <f t="shared" ref="AA806" si="209">+W805-W806</f>
        <v>21249</v>
      </c>
      <c r="AB806" s="581"/>
      <c r="AC806" s="583"/>
      <c r="AD806" s="251"/>
    </row>
    <row r="807" spans="15:30" x14ac:dyDescent="0.3">
      <c r="O807" s="98"/>
      <c r="T807" s="250"/>
      <c r="U807" s="573">
        <f t="shared" si="157"/>
        <v>44752</v>
      </c>
      <c r="V807" s="6"/>
      <c r="W807" s="580">
        <f>+I$36</f>
        <v>731524</v>
      </c>
      <c r="X807" s="581"/>
      <c r="Y807" s="44">
        <v>3.0000000000000001E-3</v>
      </c>
      <c r="Z807" s="581"/>
      <c r="AA807" s="582">
        <f t="shared" ref="AA807" si="210">+W806-W807</f>
        <v>54556</v>
      </c>
      <c r="AB807" s="581"/>
      <c r="AC807" s="583"/>
      <c r="AD807" s="251"/>
    </row>
    <row r="808" spans="15:30" x14ac:dyDescent="0.3">
      <c r="O808" s="98"/>
      <c r="T808" s="250"/>
      <c r="U808" s="252">
        <f t="shared" si="157"/>
        <v>44753</v>
      </c>
      <c r="V808" s="6"/>
      <c r="W808" s="580"/>
      <c r="X808" s="581"/>
      <c r="Y808" s="44"/>
      <c r="Z808" s="581"/>
      <c r="AA808" s="582"/>
      <c r="AB808" s="581"/>
      <c r="AC808" s="583"/>
      <c r="AD808" s="251"/>
    </row>
    <row r="809" spans="15:30" x14ac:dyDescent="0.3">
      <c r="O809" s="98"/>
      <c r="T809" s="250"/>
      <c r="U809" s="252">
        <f t="shared" si="157"/>
        <v>44754</v>
      </c>
      <c r="V809" s="6"/>
      <c r="W809" s="580"/>
      <c r="X809" s="581"/>
      <c r="Y809" s="44"/>
      <c r="Z809" s="581"/>
      <c r="AA809" s="582"/>
      <c r="AB809" s="581"/>
      <c r="AC809" s="583"/>
      <c r="AD809" s="251"/>
    </row>
    <row r="810" spans="15:30" x14ac:dyDescent="0.3">
      <c r="O810" s="98"/>
      <c r="T810" s="250"/>
      <c r="U810" s="252">
        <f t="shared" si="157"/>
        <v>44755</v>
      </c>
      <c r="V810" s="6"/>
      <c r="W810" s="253"/>
      <c r="X810" s="6"/>
      <c r="Y810" s="44"/>
      <c r="Z810" s="6"/>
      <c r="AA810" s="254"/>
      <c r="AB810" s="6"/>
      <c r="AC810" s="258"/>
      <c r="AD810" s="251"/>
    </row>
    <row r="811" spans="15:30" ht="15" thickBot="1" x14ac:dyDescent="0.35">
      <c r="O811" s="98"/>
      <c r="T811" s="255"/>
      <c r="U811" s="350">
        <f>+U810+1</f>
        <v>44756</v>
      </c>
      <c r="V811" s="247"/>
      <c r="W811" s="351"/>
      <c r="X811" s="247"/>
      <c r="Y811" s="256"/>
      <c r="Z811" s="247"/>
      <c r="AA811" s="352"/>
      <c r="AB811" s="247"/>
      <c r="AC811" s="353"/>
      <c r="AD811" s="257"/>
    </row>
    <row r="812" spans="15:30" x14ac:dyDescent="0.3">
      <c r="O812" s="98"/>
    </row>
    <row r="813" spans="15:30" x14ac:dyDescent="0.3">
      <c r="O813" s="98"/>
      <c r="P813" s="57"/>
      <c r="Q813" s="57"/>
      <c r="R813" s="57"/>
      <c r="W813" s="56"/>
    </row>
    <row r="814" spans="15:30" x14ac:dyDescent="0.3">
      <c r="O814" s="98"/>
    </row>
    <row r="815" spans="15:30" ht="15" thickBot="1" x14ac:dyDescent="0.35">
      <c r="O815" s="98"/>
    </row>
    <row r="816" spans="15:30" ht="15.6" thickTop="1" thickBot="1" x14ac:dyDescent="0.35">
      <c r="Q816" s="441"/>
      <c r="R816" s="442"/>
      <c r="S816" s="442"/>
      <c r="T816" s="442"/>
      <c r="U816" s="442"/>
      <c r="V816" s="442"/>
      <c r="W816" s="442"/>
      <c r="X816" s="442"/>
      <c r="Y816" s="442"/>
      <c r="Z816" s="442"/>
      <c r="AA816" s="442"/>
      <c r="AB816" s="443"/>
    </row>
    <row r="817" spans="4:36" ht="15" thickBot="1" x14ac:dyDescent="0.35">
      <c r="E817" s="713" t="s">
        <v>106</v>
      </c>
      <c r="F817" s="714"/>
      <c r="G817" s="714"/>
      <c r="H817" s="714"/>
      <c r="I817" s="714"/>
      <c r="J817" s="714"/>
      <c r="K817" s="714"/>
      <c r="L817" s="714"/>
      <c r="M817" s="715"/>
      <c r="Q817" s="444"/>
      <c r="R817" s="6"/>
      <c r="S817" s="6"/>
      <c r="T817" s="6"/>
      <c r="U817" s="5" t="s">
        <v>132</v>
      </c>
      <c r="V817" s="5"/>
      <c r="W817" s="5"/>
      <c r="X817" s="5"/>
      <c r="Y817" s="5"/>
      <c r="Z817" s="5"/>
      <c r="AA817" s="5" t="s">
        <v>28</v>
      </c>
      <c r="AB817" s="445"/>
    </row>
    <row r="818" spans="4:36" x14ac:dyDescent="0.3">
      <c r="E818" s="395"/>
      <c r="F818" s="396" t="s">
        <v>107</v>
      </c>
      <c r="G818" s="396"/>
      <c r="H818" s="396"/>
      <c r="I818" s="716">
        <v>21477737</v>
      </c>
      <c r="J818" s="716"/>
      <c r="K818" s="716"/>
      <c r="L818" s="716"/>
      <c r="M818" s="397"/>
      <c r="Q818" s="444"/>
      <c r="R818" s="437" t="s">
        <v>134</v>
      </c>
      <c r="S818" s="6"/>
      <c r="T818" s="6"/>
      <c r="U818" s="437" t="s">
        <v>133</v>
      </c>
      <c r="V818" s="5"/>
      <c r="W818" s="437" t="s">
        <v>20</v>
      </c>
      <c r="X818" s="5"/>
      <c r="Y818" s="437" t="s">
        <v>4</v>
      </c>
      <c r="Z818" s="5"/>
      <c r="AA818" s="446" t="s">
        <v>131</v>
      </c>
      <c r="AB818" s="445"/>
    </row>
    <row r="819" spans="4:36" x14ac:dyDescent="0.3">
      <c r="E819" s="395"/>
      <c r="F819" s="396" t="s">
        <v>97</v>
      </c>
      <c r="G819" s="396"/>
      <c r="H819" s="396"/>
      <c r="I819" s="396"/>
      <c r="J819" s="396"/>
      <c r="K819" s="396"/>
      <c r="L819" s="398">
        <f>+I831/I818</f>
        <v>4.5847474526762295E-4</v>
      </c>
      <c r="M819" s="397"/>
      <c r="Q819" s="444"/>
      <c r="R819" s="6" t="s">
        <v>121</v>
      </c>
      <c r="S819" s="6"/>
      <c r="T819" s="6"/>
      <c r="U819" s="7">
        <v>2003</v>
      </c>
      <c r="V819" s="6"/>
      <c r="W819" s="7">
        <v>389666</v>
      </c>
      <c r="X819" s="6"/>
      <c r="Y819" s="7">
        <v>31257</v>
      </c>
      <c r="Z819" s="6"/>
      <c r="AA819" s="253">
        <f>+AJ819</f>
        <v>19500</v>
      </c>
      <c r="AB819" s="445"/>
      <c r="AJ819" s="1">
        <v>19500</v>
      </c>
    </row>
    <row r="820" spans="4:36" x14ac:dyDescent="0.3">
      <c r="E820" s="395"/>
      <c r="F820" s="717" t="s">
        <v>95</v>
      </c>
      <c r="G820" s="717"/>
      <c r="H820" s="396"/>
      <c r="I820" s="396"/>
      <c r="J820" s="396"/>
      <c r="K820" s="396"/>
      <c r="L820" s="399">
        <f>+I831/(I818/100000)</f>
        <v>45.847474526762298</v>
      </c>
      <c r="M820" s="397"/>
      <c r="Q820" s="444"/>
      <c r="R820" s="6" t="s">
        <v>122</v>
      </c>
      <c r="S820" s="6"/>
      <c r="T820" s="6"/>
      <c r="U820" s="7">
        <v>1913</v>
      </c>
      <c r="V820" s="6"/>
      <c r="W820" s="7">
        <v>169892</v>
      </c>
      <c r="X820" s="6"/>
      <c r="Y820" s="7">
        <v>13076</v>
      </c>
      <c r="Z820" s="6"/>
      <c r="AA820" s="253">
        <f t="shared" ref="AA820:AA828" si="211">+AJ820</f>
        <v>8900</v>
      </c>
      <c r="AB820" s="445"/>
      <c r="AJ820" s="1">
        <v>8900</v>
      </c>
    </row>
    <row r="821" spans="4:36" x14ac:dyDescent="0.3">
      <c r="E821" s="395"/>
      <c r="F821" s="400"/>
      <c r="G821" s="400"/>
      <c r="H821" s="396"/>
      <c r="I821" s="396"/>
      <c r="J821" s="396"/>
      <c r="K821" s="396"/>
      <c r="L821" s="399"/>
      <c r="M821" s="397"/>
      <c r="Q821" s="444"/>
      <c r="R821" s="6" t="s">
        <v>123</v>
      </c>
      <c r="S821" s="6"/>
      <c r="T821" s="6"/>
      <c r="U821" s="7">
        <v>1568</v>
      </c>
      <c r="V821" s="6"/>
      <c r="W821" s="7">
        <v>16606</v>
      </c>
      <c r="X821" s="6"/>
      <c r="Y821" s="7">
        <v>912</v>
      </c>
      <c r="Z821" s="6"/>
      <c r="AA821" s="253">
        <f t="shared" si="211"/>
        <v>1100</v>
      </c>
      <c r="AB821" s="445"/>
      <c r="AJ821" s="1">
        <v>1100</v>
      </c>
    </row>
    <row r="822" spans="4:36" x14ac:dyDescent="0.3">
      <c r="E822" s="395"/>
      <c r="F822" s="400" t="s">
        <v>108</v>
      </c>
      <c r="G822" s="400"/>
      <c r="H822" s="717" t="s">
        <v>109</v>
      </c>
      <c r="I822" s="717"/>
      <c r="J822" s="396"/>
      <c r="K822" s="396"/>
      <c r="L822" s="399"/>
      <c r="M822" s="397"/>
      <c r="Q822" s="444"/>
      <c r="R822" s="6" t="s">
        <v>56</v>
      </c>
      <c r="S822" s="6"/>
      <c r="T822" s="6"/>
      <c r="U822" s="7">
        <v>1561</v>
      </c>
      <c r="V822" s="6"/>
      <c r="W822" s="7">
        <v>107611</v>
      </c>
      <c r="X822" s="6"/>
      <c r="Y822" s="7">
        <v>7937</v>
      </c>
      <c r="Z822" s="6"/>
      <c r="AA822" s="253">
        <f t="shared" si="211"/>
        <v>7000</v>
      </c>
      <c r="AB822" s="445"/>
      <c r="AJ822" s="1">
        <v>7000</v>
      </c>
    </row>
    <row r="823" spans="4:36" ht="15" thickBot="1" x14ac:dyDescent="0.35">
      <c r="E823" s="401"/>
      <c r="F823" s="402"/>
      <c r="G823" s="402"/>
      <c r="H823" s="402"/>
      <c r="I823" s="402"/>
      <c r="J823" s="402"/>
      <c r="K823" s="402"/>
      <c r="L823" s="402"/>
      <c r="M823" s="403"/>
      <c r="Q823" s="444"/>
      <c r="R823" s="6" t="s">
        <v>128</v>
      </c>
      <c r="S823" s="6"/>
      <c r="T823" s="6"/>
      <c r="U823" s="7">
        <v>1435</v>
      </c>
      <c r="V823" s="6"/>
      <c r="W823" s="7">
        <v>10128</v>
      </c>
      <c r="X823" s="6"/>
      <c r="Y823" s="7">
        <v>541</v>
      </c>
      <c r="Z823" s="6"/>
      <c r="AA823" s="253">
        <f t="shared" si="211"/>
        <v>700</v>
      </c>
      <c r="AB823" s="445"/>
      <c r="AJ823" s="1">
        <v>700</v>
      </c>
    </row>
    <row r="824" spans="4:36" x14ac:dyDescent="0.3">
      <c r="Q824" s="444"/>
      <c r="R824" s="6" t="s">
        <v>124</v>
      </c>
      <c r="S824" s="6"/>
      <c r="T824" s="6"/>
      <c r="U824" s="7">
        <v>1288</v>
      </c>
      <c r="V824" s="6"/>
      <c r="W824" s="7">
        <v>45913</v>
      </c>
      <c r="X824" s="6"/>
      <c r="Y824" s="7">
        <v>4287</v>
      </c>
      <c r="Z824" s="6"/>
      <c r="AA824" s="253">
        <f t="shared" si="211"/>
        <v>3600</v>
      </c>
      <c r="AB824" s="445"/>
      <c r="AJ824" s="1">
        <v>3600</v>
      </c>
    </row>
    <row r="825" spans="4:36" ht="15" thickBot="1" x14ac:dyDescent="0.35">
      <c r="D825" s="78"/>
      <c r="E825" s="139"/>
      <c r="F825" s="139"/>
      <c r="G825" s="139"/>
      <c r="H825" s="139"/>
      <c r="I825" s="310"/>
      <c r="J825" s="78"/>
      <c r="K825" s="98"/>
      <c r="L825" s="98"/>
      <c r="M825" s="98"/>
      <c r="N825" s="98"/>
      <c r="Q825" s="444"/>
      <c r="R825" s="6" t="s">
        <v>129</v>
      </c>
      <c r="S825" s="6"/>
      <c r="T825" s="6"/>
      <c r="U825" s="7">
        <v>1129</v>
      </c>
      <c r="V825" s="6"/>
      <c r="W825" s="7">
        <v>52477</v>
      </c>
      <c r="X825" s="6"/>
      <c r="Y825" s="7">
        <v>3152</v>
      </c>
      <c r="Z825" s="6"/>
      <c r="AA825" s="253">
        <f t="shared" si="211"/>
        <v>4600</v>
      </c>
      <c r="AB825" s="445"/>
      <c r="AJ825" s="1">
        <v>4600</v>
      </c>
    </row>
    <row r="826" spans="4:36" ht="16.2" thickBot="1" x14ac:dyDescent="0.35">
      <c r="D826" s="381"/>
      <c r="E826" s="718" t="s">
        <v>119</v>
      </c>
      <c r="F826" s="719"/>
      <c r="G826" s="719"/>
      <c r="H826" s="719"/>
      <c r="I826" s="719"/>
      <c r="J826" s="720"/>
      <c r="K826" s="382"/>
      <c r="L826" s="394" t="s">
        <v>10</v>
      </c>
      <c r="M826" s="383"/>
      <c r="N826" s="98"/>
      <c r="Q826" s="444"/>
      <c r="R826" s="6" t="s">
        <v>125</v>
      </c>
      <c r="S826" s="6"/>
      <c r="T826" s="6"/>
      <c r="U826" s="7">
        <v>1118</v>
      </c>
      <c r="V826" s="6"/>
      <c r="W826" s="7">
        <v>10889</v>
      </c>
      <c r="X826" s="6"/>
      <c r="Y826" s="7">
        <v>505</v>
      </c>
      <c r="Z826" s="6"/>
      <c r="AA826" s="253">
        <f t="shared" si="211"/>
        <v>980</v>
      </c>
      <c r="AB826" s="445"/>
      <c r="AJ826" s="1">
        <v>980</v>
      </c>
    </row>
    <row r="827" spans="4:36" x14ac:dyDescent="0.3">
      <c r="D827" s="360"/>
      <c r="E827" s="384" t="s">
        <v>75</v>
      </c>
      <c r="F827" s="16"/>
      <c r="G827" s="16"/>
      <c r="H827" s="16"/>
      <c r="I827" s="721">
        <f>+K81</f>
        <v>48675</v>
      </c>
      <c r="J827" s="721"/>
      <c r="K827" s="16"/>
      <c r="L827" s="60">
        <f>+I827/$I$827</f>
        <v>1</v>
      </c>
      <c r="M827" s="385"/>
      <c r="N827" s="98"/>
      <c r="Q827" s="444"/>
      <c r="R827" s="6" t="s">
        <v>126</v>
      </c>
      <c r="S827" s="6"/>
      <c r="T827" s="6"/>
      <c r="U827" s="7">
        <v>1093</v>
      </c>
      <c r="V827" s="6"/>
      <c r="W827" s="7">
        <v>138546</v>
      </c>
      <c r="X827" s="6"/>
      <c r="Y827" s="7">
        <v>6770</v>
      </c>
      <c r="Z827" s="6"/>
      <c r="AA827" s="253">
        <f t="shared" si="211"/>
        <v>12700</v>
      </c>
      <c r="AB827" s="445"/>
      <c r="AJ827" s="1">
        <v>12700</v>
      </c>
    </row>
    <row r="828" spans="4:36" x14ac:dyDescent="0.3">
      <c r="D828" s="360"/>
      <c r="E828" s="384"/>
      <c r="F828" s="16"/>
      <c r="G828" s="16"/>
      <c r="H828" s="16"/>
      <c r="I828" s="16"/>
      <c r="J828" s="16"/>
      <c r="K828" s="16"/>
      <c r="L828" s="16"/>
      <c r="M828" s="385"/>
      <c r="N828" s="98"/>
      <c r="Q828" s="444"/>
      <c r="R828" s="6" t="s">
        <v>127</v>
      </c>
      <c r="S828" s="6"/>
      <c r="T828" s="6"/>
      <c r="U828" s="447">
        <v>1081</v>
      </c>
      <c r="V828" s="6"/>
      <c r="W828" s="447">
        <v>65337</v>
      </c>
      <c r="X828" s="6"/>
      <c r="Y828" s="447">
        <v>3108</v>
      </c>
      <c r="Z828" s="6"/>
      <c r="AA828" s="448">
        <f t="shared" si="211"/>
        <v>6100</v>
      </c>
      <c r="AB828" s="445"/>
      <c r="AJ828" s="439">
        <v>6100</v>
      </c>
    </row>
    <row r="829" spans="4:36" x14ac:dyDescent="0.3">
      <c r="D829" s="372"/>
      <c r="E829" s="15"/>
      <c r="F829" s="386" t="s">
        <v>100</v>
      </c>
      <c r="G829" s="386"/>
      <c r="H829" s="15"/>
      <c r="I829" s="722">
        <f>+I81</f>
        <v>36684</v>
      </c>
      <c r="J829" s="723"/>
      <c r="K829" s="15"/>
      <c r="L829" s="60">
        <f>+I829/$I$827</f>
        <v>0.75365177195685673</v>
      </c>
      <c r="M829" s="365"/>
      <c r="N829" s="98"/>
      <c r="Q829" s="444"/>
      <c r="R829" s="5" t="s">
        <v>31</v>
      </c>
      <c r="S829" s="6"/>
      <c r="T829" s="6"/>
      <c r="U829" s="253">
        <f>+W829/(AA829/100)</f>
        <v>1545.0521632402579</v>
      </c>
      <c r="V829" s="6"/>
      <c r="W829" s="253">
        <f>SUM(W819:W828)</f>
        <v>1007065</v>
      </c>
      <c r="X829" s="6"/>
      <c r="Y829" s="253">
        <f>SUM(Y819:Y828)</f>
        <v>71545</v>
      </c>
      <c r="Z829" s="6"/>
      <c r="AA829" s="253">
        <f>SUM(AA819:AA828)</f>
        <v>65180</v>
      </c>
      <c r="AB829" s="445"/>
      <c r="AJ829" s="56">
        <f>SUM(AJ819:AJ828)</f>
        <v>65180</v>
      </c>
    </row>
    <row r="830" spans="4:36" x14ac:dyDescent="0.3">
      <c r="D830" s="372"/>
      <c r="E830" s="15"/>
      <c r="F830" s="15" t="s">
        <v>76</v>
      </c>
      <c r="G830" s="15"/>
      <c r="H830" s="15"/>
      <c r="I830" s="724">
        <f>+I75</f>
        <v>2144</v>
      </c>
      <c r="J830" s="725"/>
      <c r="K830" s="15"/>
      <c r="L830" s="60">
        <f>+I830/$I$827</f>
        <v>4.4047252182845401E-2</v>
      </c>
      <c r="M830" s="365"/>
      <c r="N830" s="98"/>
      <c r="Q830" s="444"/>
      <c r="R830" s="5"/>
      <c r="S830" s="6"/>
      <c r="T830" s="6"/>
      <c r="U830" s="6"/>
      <c r="V830" s="6"/>
      <c r="W830" s="253"/>
      <c r="X830" s="6"/>
      <c r="Y830" s="253"/>
      <c r="Z830" s="6"/>
      <c r="AA830" s="6"/>
      <c r="AB830" s="445"/>
      <c r="AJ830" s="56"/>
    </row>
    <row r="831" spans="4:36" ht="15" thickBot="1" x14ac:dyDescent="0.35">
      <c r="D831" s="372"/>
      <c r="E831" s="710" t="s">
        <v>101</v>
      </c>
      <c r="F831" s="710"/>
      <c r="G831" s="710"/>
      <c r="H831" s="15"/>
      <c r="I831" s="711">
        <f>+I827-I829-I830</f>
        <v>9847</v>
      </c>
      <c r="J831" s="712"/>
      <c r="K831" s="387"/>
      <c r="L831" s="388">
        <f>+I831/$I$827</f>
        <v>0.20230097586029788</v>
      </c>
      <c r="M831" s="365"/>
      <c r="N831" s="98"/>
      <c r="Q831" s="444"/>
      <c r="R831" s="5" t="s">
        <v>57</v>
      </c>
      <c r="S831" s="6"/>
      <c r="T831" s="6"/>
      <c r="U831" s="7">
        <v>7441</v>
      </c>
      <c r="V831" s="6"/>
      <c r="W831" s="7">
        <f>+'Main Table'!H106</f>
        <v>3029734</v>
      </c>
      <c r="X831" s="6"/>
      <c r="Y831" s="7">
        <f>+'Main Table'!AA106</f>
        <v>129682</v>
      </c>
      <c r="Z831" s="6"/>
      <c r="AA831" s="253">
        <f>+AJ831</f>
        <v>333000</v>
      </c>
      <c r="AB831" s="445"/>
      <c r="AJ831" s="56">
        <v>333000</v>
      </c>
    </row>
    <row r="832" spans="4:36" ht="15.6" thickTop="1" thickBot="1" x14ac:dyDescent="0.35">
      <c r="D832" s="372"/>
      <c r="E832" s="389"/>
      <c r="F832" s="389"/>
      <c r="G832" s="389"/>
      <c r="H832" s="15"/>
      <c r="I832" s="390"/>
      <c r="J832" s="389"/>
      <c r="K832" s="387"/>
      <c r="L832" s="391"/>
      <c r="M832" s="365"/>
      <c r="N832" s="98"/>
      <c r="Q832" s="444"/>
      <c r="R832" s="5" t="s">
        <v>130</v>
      </c>
      <c r="S832" s="6"/>
      <c r="T832" s="6"/>
      <c r="U832" s="449"/>
      <c r="V832" s="6"/>
      <c r="W832" s="450">
        <f>+W829/W831</f>
        <v>0.33239386692033029</v>
      </c>
      <c r="X832" s="6"/>
      <c r="Y832" s="450">
        <f>+Y829/Y831</f>
        <v>0.55169568637127742</v>
      </c>
      <c r="Z832" s="6"/>
      <c r="AA832" s="450">
        <f>+AA829/AA831</f>
        <v>0.19573573573573574</v>
      </c>
      <c r="AB832" s="445"/>
      <c r="AJ832" s="440">
        <f>+AJ829/AJ831</f>
        <v>0.19573573573573574</v>
      </c>
    </row>
    <row r="833" spans="4:28" ht="15.6" thickTop="1" thickBot="1" x14ac:dyDescent="0.35">
      <c r="D833" s="392"/>
      <c r="E833" s="393"/>
      <c r="F833" s="393"/>
      <c r="G833" s="393"/>
      <c r="H833" s="393"/>
      <c r="I833" s="393"/>
      <c r="J833" s="393"/>
      <c r="K833" s="393"/>
      <c r="L833" s="393"/>
      <c r="M833" s="380"/>
      <c r="N833" s="98"/>
      <c r="Q833" s="451"/>
      <c r="R833" s="452"/>
      <c r="S833" s="452"/>
      <c r="T833" s="452"/>
      <c r="U833" s="452"/>
      <c r="V833" s="452"/>
      <c r="W833" s="452"/>
      <c r="X833" s="452"/>
      <c r="Y833" s="452"/>
      <c r="Z833" s="452"/>
      <c r="AA833" s="452"/>
      <c r="AB833" s="453"/>
    </row>
    <row r="837" spans="4:28" x14ac:dyDescent="0.3">
      <c r="F837" s="1">
        <v>1248371</v>
      </c>
    </row>
    <row r="838" spans="4:28" x14ac:dyDescent="0.3">
      <c r="W838" s="1"/>
    </row>
    <row r="839" spans="4:28" x14ac:dyDescent="0.3">
      <c r="F839">
        <v>700</v>
      </c>
    </row>
    <row r="840" spans="4:28" x14ac:dyDescent="0.3">
      <c r="F840" s="76">
        <f>+F839/F837</f>
        <v>5.6073074430597954E-4</v>
      </c>
    </row>
    <row r="842" spans="4:28" x14ac:dyDescent="0.3">
      <c r="F842" s="1">
        <v>60000</v>
      </c>
    </row>
    <row r="843" spans="4:28" x14ac:dyDescent="0.3">
      <c r="F843">
        <f>+F840*F842</f>
        <v>33.643844658358773</v>
      </c>
    </row>
    <row r="845" spans="4:28" x14ac:dyDescent="0.3">
      <c r="F845" s="1">
        <v>331000000</v>
      </c>
    </row>
    <row r="846" spans="4:28" x14ac:dyDescent="0.3">
      <c r="F846" s="56">
        <f>+W86</f>
        <v>811067</v>
      </c>
    </row>
    <row r="847" spans="4:28" x14ac:dyDescent="0.3">
      <c r="F847" s="57">
        <f>+F846/F845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831:G831"/>
    <mergeCell ref="I831:J831"/>
    <mergeCell ref="E817:M817"/>
    <mergeCell ref="I818:L818"/>
    <mergeCell ref="F820:G820"/>
    <mergeCell ref="E826:J826"/>
    <mergeCell ref="I827:J827"/>
    <mergeCell ref="I829:J829"/>
    <mergeCell ref="I830:J830"/>
    <mergeCell ref="H822:I822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2022-07-12T00:18:19Z</dcterms:modified>
</cp:coreProperties>
</file>