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505D2589-EAC8-49B5-8F99-07A5FC0C2100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Table'!$A$1:$CI$105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83" i="1" l="1"/>
  <c r="BJ91" i="1" l="1"/>
  <c r="AF100" i="1"/>
  <c r="AF91" i="1"/>
  <c r="I20" i="3"/>
  <c r="S99" i="2"/>
  <c r="BN104" i="1"/>
  <c r="BK104" i="1"/>
  <c r="BI104" i="1"/>
  <c r="BH104" i="1"/>
  <c r="BG104" i="1"/>
  <c r="BE104" i="1"/>
  <c r="BC104" i="1"/>
  <c r="BB104" i="1"/>
  <c r="BA104" i="1"/>
  <c r="AY104" i="1"/>
  <c r="AX104" i="1"/>
  <c r="AV104" i="1"/>
  <c r="AT104" i="1"/>
  <c r="AS104" i="1"/>
  <c r="AR104" i="1"/>
  <c r="AP104" i="1"/>
  <c r="AO104" i="1"/>
  <c r="AN104" i="1"/>
  <c r="AM104" i="1"/>
  <c r="AL104" i="1"/>
  <c r="AJ104" i="1"/>
  <c r="AI104" i="1"/>
  <c r="AG104" i="1"/>
  <c r="AE104" i="1"/>
  <c r="AC104" i="1"/>
  <c r="AA104" i="1"/>
  <c r="Y104" i="1"/>
  <c r="X104" i="1"/>
  <c r="W104" i="1"/>
  <c r="V104" i="1"/>
  <c r="U104" i="1"/>
  <c r="T104" i="1"/>
  <c r="S104" i="1"/>
  <c r="Q104" i="1"/>
  <c r="O104" i="1"/>
  <c r="M104" i="1"/>
  <c r="L104" i="1"/>
  <c r="K104" i="1"/>
  <c r="I104" i="1"/>
  <c r="BN103" i="1"/>
  <c r="BK103" i="1"/>
  <c r="BI103" i="1"/>
  <c r="BH103" i="1"/>
  <c r="BG103" i="1"/>
  <c r="BE103" i="1"/>
  <c r="BD103" i="1"/>
  <c r="BC103" i="1"/>
  <c r="BB103" i="1"/>
  <c r="BA103" i="1"/>
  <c r="AY103" i="1"/>
  <c r="AX103" i="1"/>
  <c r="AV103" i="1"/>
  <c r="AT103" i="1"/>
  <c r="AS103" i="1"/>
  <c r="AR103" i="1"/>
  <c r="AP103" i="1"/>
  <c r="AO103" i="1"/>
  <c r="AN103" i="1"/>
  <c r="AM103" i="1"/>
  <c r="AL103" i="1"/>
  <c r="AJ103" i="1"/>
  <c r="AI103" i="1"/>
  <c r="AG103" i="1"/>
  <c r="AE103" i="1"/>
  <c r="AC103" i="1"/>
  <c r="AA103" i="1"/>
  <c r="Y103" i="1"/>
  <c r="X103" i="1"/>
  <c r="W103" i="1"/>
  <c r="V103" i="1"/>
  <c r="U103" i="1"/>
  <c r="T103" i="1"/>
  <c r="S103" i="1"/>
  <c r="Q103" i="1"/>
  <c r="O103" i="1"/>
  <c r="M103" i="1"/>
  <c r="L103" i="1"/>
  <c r="K103" i="1"/>
  <c r="I103" i="1"/>
  <c r="D104" i="1"/>
  <c r="D103" i="1"/>
  <c r="BM98" i="1"/>
  <c r="BM103" i="1" s="1"/>
  <c r="BD98" i="1"/>
  <c r="BD104" i="1" s="1"/>
  <c r="AZ98" i="1"/>
  <c r="BJ98" i="1" s="1"/>
  <c r="BJ103" i="1" s="1"/>
  <c r="AW98" i="1"/>
  <c r="AW104" i="1" s="1"/>
  <c r="AK98" i="1"/>
  <c r="AQ98" i="1" s="1"/>
  <c r="AQ103" i="1" s="1"/>
  <c r="AF98" i="1"/>
  <c r="P98" i="1"/>
  <c r="S108" i="2"/>
  <c r="R108" i="2"/>
  <c r="P108" i="2"/>
  <c r="O108" i="2"/>
  <c r="N108" i="2"/>
  <c r="L108" i="2"/>
  <c r="J108" i="2"/>
  <c r="I108" i="2"/>
  <c r="H108" i="2"/>
  <c r="G108" i="2"/>
  <c r="E108" i="2"/>
  <c r="K99" i="2"/>
  <c r="M99" i="2" s="1"/>
  <c r="M108" i="2" s="1"/>
  <c r="AH98" i="1" l="1"/>
  <c r="AH103" i="1" s="1"/>
  <c r="BM104" i="1"/>
  <c r="AQ104" i="1"/>
  <c r="AW103" i="1"/>
  <c r="AK104" i="1"/>
  <c r="AK103" i="1"/>
  <c r="AF103" i="1"/>
  <c r="AZ103" i="1"/>
  <c r="BJ104" i="1"/>
  <c r="AZ104" i="1"/>
  <c r="P103" i="1"/>
  <c r="BF98" i="1"/>
  <c r="BL98" i="1"/>
  <c r="R98" i="1"/>
  <c r="K108" i="2"/>
  <c r="U99" i="2"/>
  <c r="Q99" i="2"/>
  <c r="Q108" i="2" s="1"/>
  <c r="S98" i="2"/>
  <c r="BF103" i="1" l="1"/>
  <c r="BF104" i="1"/>
  <c r="R103" i="1"/>
  <c r="BL103" i="1"/>
  <c r="BV97" i="1"/>
  <c r="BM97" i="1" s="1"/>
  <c r="BD97" i="1"/>
  <c r="AZ97" i="1"/>
  <c r="BJ97" i="1" s="1"/>
  <c r="AW97" i="1"/>
  <c r="AK97" i="1"/>
  <c r="AQ97" i="1" s="1"/>
  <c r="AF97" i="1"/>
  <c r="P97" i="1"/>
  <c r="P104" i="1" s="1"/>
  <c r="K98" i="2"/>
  <c r="Q98" i="2" s="1"/>
  <c r="AH97" i="1" l="1"/>
  <c r="AH104" i="1" s="1"/>
  <c r="AF104" i="1"/>
  <c r="BF97" i="1"/>
  <c r="BL97" i="1"/>
  <c r="BL104" i="1" s="1"/>
  <c r="R97" i="1"/>
  <c r="R104" i="1" s="1"/>
  <c r="M98" i="2"/>
  <c r="U98" i="2"/>
  <c r="P96" i="1" l="1"/>
  <c r="R96" i="1" s="1"/>
  <c r="BM96" i="1"/>
  <c r="BJ96" i="1"/>
  <c r="BD96" i="1"/>
  <c r="BO96" i="1" s="1"/>
  <c r="AZ96" i="1"/>
  <c r="AW96" i="1"/>
  <c r="AK96" i="1"/>
  <c r="AQ96" i="1" s="1"/>
  <c r="AF96" i="1"/>
  <c r="AH96" i="1" s="1"/>
  <c r="Z96" i="1"/>
  <c r="J96" i="1"/>
  <c r="H96" i="1"/>
  <c r="S97" i="2"/>
  <c r="K97" i="2"/>
  <c r="Q97" i="2" s="1"/>
  <c r="BV96" i="1"/>
  <c r="BV98" i="1" s="1"/>
  <c r="BV99" i="1" s="1"/>
  <c r="BV100" i="1" s="1"/>
  <c r="BV101" i="1" s="1"/>
  <c r="B96" i="1"/>
  <c r="B97" i="1" s="1"/>
  <c r="B98" i="1" s="1"/>
  <c r="B99" i="1" s="1"/>
  <c r="B100" i="1" s="1"/>
  <c r="B101" i="1" s="1"/>
  <c r="S96" i="2"/>
  <c r="W98" i="2"/>
  <c r="W99" i="2" s="1"/>
  <c r="W100" i="2" s="1"/>
  <c r="W101" i="2" s="1"/>
  <c r="W102" i="2" s="1"/>
  <c r="W103" i="2" s="1"/>
  <c r="W104" i="2" s="1"/>
  <c r="W105" i="2" s="1"/>
  <c r="W106" i="2" s="1"/>
  <c r="W97" i="2"/>
  <c r="C98" i="2"/>
  <c r="C99" i="2" s="1"/>
  <c r="C100" i="2" s="1"/>
  <c r="C101" i="2" s="1"/>
  <c r="C102" i="2" s="1"/>
  <c r="C103" i="2" s="1"/>
  <c r="C104" i="2" s="1"/>
  <c r="C105" i="2" s="1"/>
  <c r="C106" i="2" s="1"/>
  <c r="C97" i="2"/>
  <c r="K96" i="2"/>
  <c r="Q96" i="2" s="1"/>
  <c r="AU96" i="1" l="1"/>
  <c r="H97" i="1"/>
  <c r="J97" i="1"/>
  <c r="BQ96" i="1"/>
  <c r="BO97" i="1"/>
  <c r="N96" i="1"/>
  <c r="AD96" i="1"/>
  <c r="Z97" i="1"/>
  <c r="BL96" i="1"/>
  <c r="AB96" i="1"/>
  <c r="BF96" i="1"/>
  <c r="U97" i="2"/>
  <c r="M97" i="2"/>
  <c r="U96" i="2"/>
  <c r="M96" i="2"/>
  <c r="BO98" i="1" l="1"/>
  <c r="BQ97" i="1"/>
  <c r="N97" i="1"/>
  <c r="H98" i="1"/>
  <c r="J98" i="1"/>
  <c r="J103" i="1" s="1"/>
  <c r="H104" i="1"/>
  <c r="AU97" i="1"/>
  <c r="Z98" i="1"/>
  <c r="AB97" i="1"/>
  <c r="AD97" i="1"/>
  <c r="BJ89" i="1"/>
  <c r="J104" i="1" l="1"/>
  <c r="BQ98" i="1"/>
  <c r="BO103" i="1"/>
  <c r="N98" i="1"/>
  <c r="H103" i="1"/>
  <c r="AU98" i="1"/>
  <c r="BO104" i="1"/>
  <c r="AB104" i="1"/>
  <c r="Z103" i="1"/>
  <c r="AD49" i="2" s="1"/>
  <c r="AB98" i="1"/>
  <c r="AB103" i="1" s="1"/>
  <c r="AD98" i="1"/>
  <c r="AD103" i="1" s="1"/>
  <c r="AD104" i="1"/>
  <c r="Z104" i="1"/>
  <c r="BD95" i="1"/>
  <c r="AZ95" i="1"/>
  <c r="AK95" i="1"/>
  <c r="AQ95" i="1" s="1"/>
  <c r="T53" i="3"/>
  <c r="T54" i="3" s="1"/>
  <c r="T55" i="3" s="1"/>
  <c r="T56" i="3" s="1"/>
  <c r="T57" i="3" s="1"/>
  <c r="T58" i="3" s="1"/>
  <c r="T59" i="3" s="1"/>
  <c r="T60" i="3" s="1"/>
  <c r="T61" i="3" s="1"/>
  <c r="T52" i="3"/>
  <c r="S95" i="2"/>
  <c r="AU104" i="1" l="1"/>
  <c r="AU103" i="1"/>
  <c r="N104" i="1"/>
  <c r="N103" i="1"/>
  <c r="BF95" i="1"/>
  <c r="D121" i="1"/>
  <c r="BD94" i="1"/>
  <c r="AZ94" i="1"/>
  <c r="AK94" i="1"/>
  <c r="AQ94" i="1" s="1"/>
  <c r="K95" i="2"/>
  <c r="M95" i="2" s="1"/>
  <c r="BF94" i="1" l="1"/>
  <c r="Q95" i="2"/>
  <c r="U95" i="2"/>
  <c r="S94" i="2" l="1"/>
  <c r="BD93" i="1" l="1"/>
  <c r="AZ93" i="1"/>
  <c r="AK93" i="1"/>
  <c r="AQ93" i="1" s="1"/>
  <c r="K94" i="2"/>
  <c r="Q94" i="2" s="1"/>
  <c r="BF93" i="1" l="1"/>
  <c r="U94" i="2"/>
  <c r="M94" i="2"/>
  <c r="S93" i="2"/>
  <c r="K93" i="2"/>
  <c r="M93" i="2" s="1"/>
  <c r="BD92" i="1"/>
  <c r="AZ92" i="1"/>
  <c r="AK92" i="1"/>
  <c r="AQ92" i="1" s="1"/>
  <c r="Q93" i="2" l="1"/>
  <c r="U93" i="2"/>
  <c r="BF92" i="1"/>
  <c r="S92" i="2" l="1"/>
  <c r="BD91" i="1" l="1"/>
  <c r="AZ91" i="1"/>
  <c r="AK91" i="1"/>
  <c r="AQ91" i="1" s="1"/>
  <c r="K92" i="2"/>
  <c r="Q92" i="2" s="1"/>
  <c r="BF91" i="1" l="1"/>
  <c r="U92" i="2"/>
  <c r="M92" i="2"/>
  <c r="S91" i="2"/>
  <c r="BD90" i="1" l="1"/>
  <c r="AZ90" i="1"/>
  <c r="AK90" i="1"/>
  <c r="AQ90" i="1" s="1"/>
  <c r="K91" i="2"/>
  <c r="M91" i="2" s="1"/>
  <c r="BJ106" i="1" l="1"/>
  <c r="BF90" i="1"/>
  <c r="U91" i="2"/>
  <c r="Q91" i="2"/>
  <c r="S89" i="2"/>
  <c r="U90" i="2"/>
  <c r="S90" i="2"/>
  <c r="K90" i="2"/>
  <c r="BJ82" i="1"/>
  <c r="BL82" i="1" s="1"/>
  <c r="BL75" i="1"/>
  <c r="BJ75" i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D89" i="1"/>
  <c r="AZ89" i="1"/>
  <c r="AK89" i="1"/>
  <c r="AQ89" i="1" s="1"/>
  <c r="AF89" i="1"/>
  <c r="P89" i="1"/>
  <c r="R89" i="1" s="1"/>
  <c r="AH89" i="1" l="1"/>
  <c r="AH33" i="1"/>
  <c r="BF89" i="1"/>
  <c r="BD88" i="1"/>
  <c r="AZ88" i="1"/>
  <c r="AK88" i="1"/>
  <c r="AQ88" i="1" s="1"/>
  <c r="K89" i="2"/>
  <c r="Q89" i="2" s="1"/>
  <c r="Q90" i="2" l="1"/>
  <c r="M90" i="2"/>
  <c r="BL89" i="1"/>
  <c r="BF88" i="1"/>
  <c r="M89" i="2"/>
  <c r="U89" i="2"/>
  <c r="S88" i="2"/>
  <c r="BD87" i="1" l="1"/>
  <c r="AZ87" i="1"/>
  <c r="AK87" i="1"/>
  <c r="AQ87" i="1" s="1"/>
  <c r="K88" i="2"/>
  <c r="Q88" i="2" s="1"/>
  <c r="BF87" i="1" l="1"/>
  <c r="U88" i="2"/>
  <c r="M88" i="2"/>
  <c r="S87" i="2"/>
  <c r="U87" i="2"/>
  <c r="Q87" i="2"/>
  <c r="M87" i="2"/>
  <c r="K87" i="2"/>
  <c r="BD86" i="1"/>
  <c r="AZ86" i="1"/>
  <c r="AK86" i="1"/>
  <c r="AQ86" i="1" s="1"/>
  <c r="BF86" i="1" l="1"/>
  <c r="S86" i="2"/>
  <c r="BD85" i="1" l="1"/>
  <c r="AZ85" i="1"/>
  <c r="AK85" i="1"/>
  <c r="AQ85" i="1" s="1"/>
  <c r="K86" i="2"/>
  <c r="Q86" i="2" s="1"/>
  <c r="BF85" i="1" l="1"/>
  <c r="U86" i="2"/>
  <c r="M86" i="2"/>
  <c r="S85" i="2"/>
  <c r="K85" i="2" l="1"/>
  <c r="Q85" i="2" s="1"/>
  <c r="BD84" i="1"/>
  <c r="AZ84" i="1"/>
  <c r="AK84" i="1"/>
  <c r="AQ84" i="1" s="1"/>
  <c r="T39" i="3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U85" i="2" l="1"/>
  <c r="M85" i="2"/>
  <c r="BF84" i="1"/>
  <c r="BD83" i="1" l="1"/>
  <c r="AZ83" i="1"/>
  <c r="AK83" i="1"/>
  <c r="AQ83" i="1" s="1"/>
  <c r="S84" i="2"/>
  <c r="K84" i="2"/>
  <c r="Q84" i="2" s="1"/>
  <c r="F119" i="3"/>
  <c r="F116" i="3"/>
  <c r="S83" i="2"/>
  <c r="BF83" i="1" l="1"/>
  <c r="U84" i="2"/>
  <c r="M84" i="2"/>
  <c r="V78" i="1" l="1"/>
  <c r="K83" i="2"/>
  <c r="U83" i="2" s="1"/>
  <c r="BD82" i="1"/>
  <c r="AZ82" i="1"/>
  <c r="AK82" i="1"/>
  <c r="S82" i="2"/>
  <c r="K82" i="2"/>
  <c r="M82" i="2" s="1"/>
  <c r="BD81" i="1"/>
  <c r="AZ81" i="1"/>
  <c r="AK81" i="1"/>
  <c r="AQ82" i="1" l="1"/>
  <c r="BF82" i="1"/>
  <c r="M83" i="2"/>
  <c r="Q83" i="2"/>
  <c r="U82" i="2"/>
  <c r="Q82" i="2"/>
  <c r="AQ81" i="1"/>
  <c r="BF81" i="1"/>
  <c r="AK80" i="1"/>
  <c r="AQ80" i="1" s="1"/>
  <c r="U81" i="2"/>
  <c r="S81" i="2"/>
  <c r="Q81" i="2"/>
  <c r="M81" i="2"/>
  <c r="K81" i="2"/>
  <c r="BD80" i="1"/>
  <c r="AZ80" i="1"/>
  <c r="BF80" i="1" l="1"/>
  <c r="S80" i="2"/>
  <c r="K80" i="2"/>
  <c r="U80" i="2" s="1"/>
  <c r="BD79" i="1"/>
  <c r="AZ79" i="1"/>
  <c r="AK79" i="1"/>
  <c r="AQ79" i="1" l="1"/>
  <c r="M80" i="2"/>
  <c r="Q80" i="2"/>
  <c r="BF79" i="1"/>
  <c r="S79" i="2"/>
  <c r="K79" i="2" l="1"/>
  <c r="M79" i="2" s="1"/>
  <c r="BD78" i="1"/>
  <c r="AZ78" i="1"/>
  <c r="AK78" i="1"/>
  <c r="AQ78" i="1" s="1"/>
  <c r="U79" i="2" l="1"/>
  <c r="Q79" i="2"/>
  <c r="BF78" i="1"/>
  <c r="S78" i="2" l="1"/>
  <c r="BD77" i="1"/>
  <c r="AZ77" i="1"/>
  <c r="AK77" i="1"/>
  <c r="AQ77" i="1" s="1"/>
  <c r="K78" i="2"/>
  <c r="Q78" i="2" s="1"/>
  <c r="BF77" i="1" l="1"/>
  <c r="U78" i="2"/>
  <c r="M78" i="2"/>
  <c r="BD76" i="1"/>
  <c r="AZ76" i="1"/>
  <c r="AK76" i="1"/>
  <c r="AQ76" i="1" s="1"/>
  <c r="S77" i="2"/>
  <c r="K77" i="2"/>
  <c r="Q77" i="2" s="1"/>
  <c r="BF76" i="1" l="1"/>
  <c r="U77" i="2"/>
  <c r="M77" i="2"/>
  <c r="S76" i="2"/>
  <c r="D132" i="1" l="1"/>
  <c r="BD75" i="1"/>
  <c r="AZ75" i="1"/>
  <c r="AK75" i="1"/>
  <c r="AQ75" i="1" s="1"/>
  <c r="K76" i="2"/>
  <c r="M76" i="2" s="1"/>
  <c r="BF75" i="1" l="1"/>
  <c r="U76" i="2"/>
  <c r="Q76" i="2"/>
  <c r="D136" i="1"/>
  <c r="D135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D118" i="1"/>
  <c r="I60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K69" i="2" l="1"/>
  <c r="Q69" i="2" s="1"/>
  <c r="BD68" i="1"/>
  <c r="AZ68" i="1"/>
  <c r="AK68" i="1"/>
  <c r="AQ68" i="1" s="1"/>
  <c r="U69" i="2" l="1"/>
  <c r="M69" i="2"/>
  <c r="BF68" i="1"/>
  <c r="S68" i="2"/>
  <c r="D65" i="1"/>
  <c r="Q67" i="2"/>
  <c r="K68" i="2"/>
  <c r="M68" i="2" s="1"/>
  <c r="BD67" i="1"/>
  <c r="AZ67" i="1"/>
  <c r="AK67" i="1"/>
  <c r="AQ67" i="1" l="1"/>
  <c r="Q68" i="2"/>
  <c r="U68" i="2"/>
  <c r="BF67" i="1"/>
  <c r="D126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Q65" i="2" s="1"/>
  <c r="X19" i="3"/>
  <c r="L89" i="3" l="1"/>
  <c r="I79" i="3"/>
  <c r="I81" i="3" s="1"/>
  <c r="I82" i="3" s="1"/>
  <c r="BF64" i="1"/>
  <c r="U65" i="2"/>
  <c r="M65" i="2"/>
  <c r="S64" i="2"/>
  <c r="N81" i="3" l="1"/>
  <c r="N82" i="3" s="1"/>
  <c r="I88" i="3"/>
  <c r="L88" i="3" s="1"/>
  <c r="K64" i="2"/>
  <c r="Q64" i="2" s="1"/>
  <c r="BD63" i="1"/>
  <c r="AZ63" i="1"/>
  <c r="AK63" i="1"/>
  <c r="AQ63" i="1" s="1"/>
  <c r="X18" i="3"/>
  <c r="I90" i="3" l="1"/>
  <c r="P90" i="3" s="1"/>
  <c r="U64" i="2"/>
  <c r="M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M63" i="2" s="1"/>
  <c r="X17" i="3"/>
  <c r="BF62" i="1" l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X16" i="3"/>
  <c r="BF61" i="1" l="1"/>
  <c r="U62" i="2"/>
  <c r="M62" i="2"/>
  <c r="S61" i="2"/>
  <c r="X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8" i="3"/>
  <c r="I55" i="3"/>
  <c r="L55" i="3" l="1"/>
  <c r="L58" i="3"/>
  <c r="AQ60" i="1"/>
  <c r="BF60" i="1"/>
  <c r="S60" i="2"/>
  <c r="T108" i="2"/>
  <c r="S59" i="2"/>
  <c r="K60" i="2"/>
  <c r="BD59" i="1"/>
  <c r="AZ59" i="1"/>
  <c r="AK59" i="1"/>
  <c r="AQ59" i="1" s="1"/>
  <c r="X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X13" i="3"/>
  <c r="BD58" i="1"/>
  <c r="AZ58" i="1"/>
  <c r="AK58" i="1"/>
  <c r="AQ58" i="1" s="1"/>
  <c r="U59" i="2" l="1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8" i="2" l="1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51" i="3" s="1"/>
  <c r="I48" i="3" l="1"/>
  <c r="I50" i="3" s="1"/>
  <c r="I57" i="3" s="1"/>
  <c r="AF30" i="2"/>
  <c r="AD30" i="2"/>
  <c r="S57" i="2"/>
  <c r="L54" i="7"/>
  <c r="K57" i="2"/>
  <c r="M57" i="2" s="1"/>
  <c r="BD56" i="1"/>
  <c r="AZ56" i="1"/>
  <c r="AK56" i="1"/>
  <c r="AQ56" i="1" s="1"/>
  <c r="I59" i="3" l="1"/>
  <c r="L57" i="3"/>
  <c r="N50" i="3"/>
  <c r="I51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5" i="3" l="1"/>
  <c r="I61" i="3"/>
  <c r="L61" i="3" s="1"/>
  <c r="L67" i="3"/>
  <c r="L66" i="3"/>
  <c r="L59" i="3"/>
  <c r="N51" i="3"/>
  <c r="U56" i="2"/>
  <c r="BF55" i="1"/>
  <c r="V48" i="1"/>
  <c r="S55" i="2"/>
  <c r="L52" i="7"/>
  <c r="K55" i="2"/>
  <c r="U55" i="2" s="1"/>
  <c r="BD54" i="1"/>
  <c r="AZ54" i="1"/>
  <c r="AK54" i="1"/>
  <c r="AQ54" i="1" s="1"/>
  <c r="M55" i="2" l="1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120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0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AJ49" i="2" l="1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52" i="1"/>
  <c r="B155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H31" i="1"/>
  <c r="J31" i="1"/>
  <c r="AU30" i="1"/>
  <c r="AB30" i="1"/>
  <c r="AD34" i="1" l="1"/>
  <c r="Z35" i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BQ55" i="1"/>
  <c r="BO56" i="1"/>
  <c r="J34" i="1"/>
  <c r="Z37" i="1"/>
  <c r="AD37" i="1" s="1"/>
  <c r="N34" i="1" l="1"/>
  <c r="H35" i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AB39" i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V92" i="1" l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AW94" i="1"/>
  <c r="BM94" i="1"/>
  <c r="BO66" i="1"/>
  <c r="BQ65" i="1"/>
  <c r="N44" i="1"/>
  <c r="Z47" i="1"/>
  <c r="AD47" i="1" s="1"/>
  <c r="AU44" i="1"/>
  <c r="J45" i="1"/>
  <c r="AB44" i="1"/>
  <c r="H45" i="1"/>
  <c r="N45" i="1" s="1"/>
  <c r="BM95" i="1" l="1"/>
  <c r="AW95" i="1"/>
  <c r="BO67" i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Z12" i="3"/>
  <c r="Z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BO91" i="1" s="1"/>
  <c r="Z67" i="1"/>
  <c r="AD66" i="1"/>
  <c r="J64" i="1"/>
  <c r="H64" i="1"/>
  <c r="AU63" i="1"/>
  <c r="N63" i="1"/>
  <c r="AB63" i="1"/>
  <c r="Z17" i="3"/>
  <c r="Z18" i="3"/>
  <c r="Z15" i="3"/>
  <c r="Z16" i="3"/>
  <c r="Z14" i="3"/>
  <c r="BQ91" i="1" l="1"/>
  <c r="BO92" i="1"/>
  <c r="BQ90" i="1"/>
  <c r="Z68" i="1"/>
  <c r="Z69" i="1" s="1"/>
  <c r="AD67" i="1"/>
  <c r="H65" i="1"/>
  <c r="J65" i="1"/>
  <c r="AU64" i="1"/>
  <c r="N64" i="1"/>
  <c r="AB64" i="1"/>
  <c r="BQ92" i="1" l="1"/>
  <c r="BO93" i="1"/>
  <c r="Z70" i="1"/>
  <c r="Z71" i="1" s="1"/>
  <c r="AD69" i="1"/>
  <c r="AD68" i="1"/>
  <c r="AB65" i="1"/>
  <c r="J66" i="1"/>
  <c r="H66" i="1"/>
  <c r="AU65" i="1"/>
  <c r="N65" i="1"/>
  <c r="BQ93" i="1" l="1"/>
  <c r="BO94" i="1"/>
  <c r="Z72" i="1"/>
  <c r="AD71" i="1"/>
  <c r="AD70" i="1"/>
  <c r="J67" i="1"/>
  <c r="H67" i="1"/>
  <c r="AU66" i="1"/>
  <c r="N66" i="1"/>
  <c r="AB66" i="1"/>
  <c r="Z20" i="3"/>
  <c r="Z19" i="3"/>
  <c r="BO95" i="1" l="1"/>
  <c r="BQ94" i="1"/>
  <c r="Z73" i="1"/>
  <c r="AD72" i="1"/>
  <c r="H68" i="1"/>
  <c r="J68" i="1"/>
  <c r="AU67" i="1"/>
  <c r="N67" i="1"/>
  <c r="AB67" i="1"/>
  <c r="BQ95" i="1" l="1"/>
  <c r="Z74" i="1"/>
  <c r="AD73" i="1"/>
  <c r="J69" i="1"/>
  <c r="H69" i="1"/>
  <c r="AU68" i="1"/>
  <c r="N68" i="1"/>
  <c r="AB68" i="1"/>
  <c r="Z75" i="1" l="1"/>
  <c r="AD74" i="1"/>
  <c r="J70" i="1"/>
  <c r="H70" i="1"/>
  <c r="AU69" i="1"/>
  <c r="AB69" i="1"/>
  <c r="N69" i="1"/>
  <c r="Z22" i="3"/>
  <c r="Z21" i="3"/>
  <c r="Z76" i="1" l="1"/>
  <c r="AD75" i="1"/>
  <c r="H71" i="1"/>
  <c r="J71" i="1"/>
  <c r="N70" i="1"/>
  <c r="AU70" i="1"/>
  <c r="AB70" i="1"/>
  <c r="Z77" i="1" l="1"/>
  <c r="AD76" i="1"/>
  <c r="AU71" i="1"/>
  <c r="H72" i="1"/>
  <c r="AB71" i="1"/>
  <c r="N71" i="1"/>
  <c r="J72" i="1"/>
  <c r="Z24" i="3"/>
  <c r="Z23" i="3"/>
  <c r="AD77" i="1" l="1"/>
  <c r="Z78" i="1"/>
  <c r="Z79" i="1" s="1"/>
  <c r="D130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Z30" i="3"/>
  <c r="Z31" i="3"/>
  <c r="Z28" i="3"/>
  <c r="Z29" i="3"/>
  <c r="AD84" i="1" l="1"/>
  <c r="Z85" i="1"/>
  <c r="Z86" i="1" s="1"/>
  <c r="Z87" i="1" s="1"/>
  <c r="AD83" i="1"/>
  <c r="AD82" i="1"/>
  <c r="AU76" i="1"/>
  <c r="J77" i="1"/>
  <c r="H77" i="1"/>
  <c r="N76" i="1"/>
  <c r="AB76" i="1"/>
  <c r="Z27" i="3"/>
  <c r="AD87" i="1" l="1"/>
  <c r="Z88" i="1"/>
  <c r="AD86" i="1"/>
  <c r="AD85" i="1"/>
  <c r="H78" i="1"/>
  <c r="J78" i="1"/>
  <c r="N77" i="1"/>
  <c r="AU77" i="1"/>
  <c r="AB77" i="1"/>
  <c r="Z89" i="1" l="1"/>
  <c r="AD88" i="1"/>
  <c r="J79" i="1"/>
  <c r="H79" i="1"/>
  <c r="AU78" i="1"/>
  <c r="N78" i="1"/>
  <c r="AB78" i="1"/>
  <c r="AD89" i="1" l="1"/>
  <c r="Z90" i="1"/>
  <c r="Z91" i="1" s="1"/>
  <c r="N79" i="1"/>
  <c r="J80" i="1"/>
  <c r="H80" i="1"/>
  <c r="AB79" i="1"/>
  <c r="AU79" i="1"/>
  <c r="Z32" i="3"/>
  <c r="Z92" i="1" l="1"/>
  <c r="AD91" i="1"/>
  <c r="AD90" i="1"/>
  <c r="H81" i="1"/>
  <c r="J81" i="1"/>
  <c r="AU80" i="1"/>
  <c r="N80" i="1"/>
  <c r="AB80" i="1"/>
  <c r="Z93" i="1" l="1"/>
  <c r="Z94" i="1" s="1"/>
  <c r="AD92" i="1"/>
  <c r="N81" i="1"/>
  <c r="H82" i="1"/>
  <c r="J82" i="1"/>
  <c r="AB81" i="1"/>
  <c r="AU81" i="1"/>
  <c r="Z36" i="3"/>
  <c r="Z34" i="3"/>
  <c r="Z35" i="3"/>
  <c r="Z33" i="3"/>
  <c r="Z95" i="1" l="1"/>
  <c r="AD94" i="1"/>
  <c r="AD51" i="2"/>
  <c r="AD53" i="2" s="1"/>
  <c r="AD55" i="2" s="1"/>
  <c r="AD57" i="2" s="1"/>
  <c r="AD93" i="1"/>
  <c r="J83" i="1"/>
  <c r="H83" i="1"/>
  <c r="AU82" i="1"/>
  <c r="N82" i="1"/>
  <c r="AB82" i="1"/>
  <c r="AD95" i="1" l="1"/>
  <c r="AJ21" i="2"/>
  <c r="I21" i="3"/>
  <c r="J84" i="1"/>
  <c r="H84" i="1"/>
  <c r="AU83" i="1"/>
  <c r="N83" i="1"/>
  <c r="AB83" i="1"/>
  <c r="I35" i="3" l="1"/>
  <c r="I23" i="3"/>
  <c r="I25" i="3" s="1"/>
  <c r="I27" i="3" s="1"/>
  <c r="AU84" i="1"/>
  <c r="J85" i="1"/>
  <c r="H85" i="1"/>
  <c r="N84" i="1"/>
  <c r="AB84" i="1"/>
  <c r="I34" i="3" l="1"/>
  <c r="N27" i="3"/>
  <c r="N28" i="3" s="1"/>
  <c r="H86" i="1"/>
  <c r="J86" i="1"/>
  <c r="AU85" i="1"/>
  <c r="N85" i="1"/>
  <c r="AB85" i="1"/>
  <c r="Z39" i="3"/>
  <c r="Z38" i="3"/>
  <c r="Z37" i="3"/>
  <c r="J87" i="1" l="1"/>
  <c r="H87" i="1"/>
  <c r="AU86" i="1"/>
  <c r="N86" i="1"/>
  <c r="AB86" i="1"/>
  <c r="AU87" i="1" l="1"/>
  <c r="J88" i="1"/>
  <c r="H88" i="1"/>
  <c r="N87" i="1"/>
  <c r="AB87" i="1"/>
  <c r="AU88" i="1" l="1"/>
  <c r="J89" i="1"/>
  <c r="H89" i="1"/>
  <c r="N88" i="1"/>
  <c r="AB88" i="1"/>
  <c r="Z45" i="3"/>
  <c r="Z43" i="3"/>
  <c r="Z44" i="3"/>
  <c r="Z41" i="3"/>
  <c r="Z42" i="3"/>
  <c r="Z40" i="3"/>
  <c r="J90" i="1" l="1"/>
  <c r="H90" i="1"/>
  <c r="N89" i="1"/>
  <c r="AU89" i="1"/>
  <c r="AB89" i="1"/>
  <c r="J91" i="1" l="1"/>
  <c r="H91" i="1"/>
  <c r="AU90" i="1"/>
  <c r="N90" i="1"/>
  <c r="AB90" i="1"/>
  <c r="N91" i="1" l="1"/>
  <c r="H92" i="1"/>
  <c r="J92" i="1"/>
  <c r="AU91" i="1"/>
  <c r="AB91" i="1"/>
  <c r="N92" i="1" l="1"/>
  <c r="H93" i="1"/>
  <c r="J93" i="1"/>
  <c r="AB92" i="1"/>
  <c r="AU92" i="1"/>
  <c r="H94" i="1" l="1"/>
  <c r="J94" i="1"/>
  <c r="N93" i="1"/>
  <c r="AU93" i="1"/>
  <c r="AB93" i="1"/>
  <c r="Z46" i="3"/>
  <c r="H95" i="1" l="1"/>
  <c r="J95" i="1"/>
  <c r="N94" i="1"/>
  <c r="AU94" i="1"/>
  <c r="AB94" i="1"/>
  <c r="T14" i="7" l="1"/>
  <c r="N95" i="1"/>
  <c r="AU95" i="1"/>
  <c r="AB95" i="1"/>
  <c r="Z48" i="3"/>
  <c r="Z49" i="3"/>
  <c r="Z47" i="3"/>
  <c r="I32" i="3" l="1"/>
  <c r="AF21" i="2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I28" i="3"/>
  <c r="L32" i="3"/>
  <c r="I36" i="3"/>
  <c r="V53" i="3" s="1"/>
  <c r="Z53" i="3" s="1"/>
  <c r="L35" i="3"/>
  <c r="L34" i="3"/>
  <c r="Z51" i="3" l="1"/>
  <c r="Z52" i="3"/>
  <c r="Z50" i="3"/>
  <c r="L36" i="3"/>
  <c r="X53" i="3" s="1"/>
  <c r="X12" i="3" l="1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<sst xmlns="http://schemas.openxmlformats.org/spreadsheetml/2006/main" count="243" uniqueCount="135">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</sst>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66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0" fontId="0" fillId="14" borderId="0" xfId="2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Table'!$AF$25:$AF$96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Table'!$P$26:$P$96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2</c:v>
              </c:pt>
              <c:pt idx="1">
                <c:v>9</c:v>
              </c:pt>
              <c:pt idx="2">
                <c:v>16</c:v>
              </c:pt>
              <c:pt idx="3">
                <c:v>23</c:v>
              </c:pt>
              <c:pt idx="4">
                <c:v>30</c:v>
              </c:pt>
              <c:pt idx="5">
                <c:v>37</c:v>
              </c:pt>
              <c:pt idx="6">
                <c:v>44</c:v>
              </c:pt>
              <c:pt idx="7">
                <c:v>51</c:v>
              </c:pt>
              <c:pt idx="8">
                <c:v>58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Table'!$BL$39:$BL$96</c15:sqref>
                  </c15:fullRef>
                </c:ext>
              </c:extLst>
              <c:f>('Main Table'!$BL$40,'Main Table'!$BL$47,'Main Table'!$BL$54,'Main Table'!$BL$61,'Main Table'!$BL$68,'Main Table'!$BL$75,'Main Table'!$BL$82,'Main Table'!$BL$89,'Main Table'!$BL$96)</c:f>
              <c:numCache>
                <c:formatCode>0.0%</c:formatCode>
                <c:ptCount val="9"/>
                <c:pt idx="0">
                  <c:v>0.19885047085809551</c:v>
                </c:pt>
                <c:pt idx="1">
                  <c:v>0.13490457855138402</c:v>
                </c:pt>
                <c:pt idx="2">
                  <c:v>0.11641359782560842</c:v>
                </c:pt>
                <c:pt idx="3">
                  <c:v>7.9863510077698707E-2</c:v>
                </c:pt>
                <c:pt idx="4">
                  <c:v>6.5825742321749203E-2</c:v>
                </c:pt>
                <c:pt idx="5">
                  <c:v>5.5240875993676102E-2</c:v>
                </c:pt>
                <c:pt idx="6">
                  <c:v>5.1571586394056956E-2</c:v>
                </c:pt>
                <c:pt idx="7">
                  <c:v>4.2409597939824982E-2</c:v>
                </c:pt>
                <c:pt idx="8">
                  <c:v>4.4231999163250227E-2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106</xdr:row>
      <xdr:rowOff>0</xdr:rowOff>
    </xdr:from>
    <xdr:to>
      <xdr:col>53</xdr:col>
      <xdr:colOff>160020</xdr:colOff>
      <xdr:row>106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107</xdr:row>
      <xdr:rowOff>0</xdr:rowOff>
    </xdr:from>
    <xdr:to>
      <xdr:col>53</xdr:col>
      <xdr:colOff>160020</xdr:colOff>
      <xdr:row>107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116</xdr:row>
      <xdr:rowOff>99060</xdr:rowOff>
    </xdr:from>
    <xdr:to>
      <xdr:col>21</xdr:col>
      <xdr:colOff>274320</xdr:colOff>
      <xdr:row>117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116</xdr:row>
      <xdr:rowOff>129540</xdr:rowOff>
    </xdr:from>
    <xdr:to>
      <xdr:col>22</xdr:col>
      <xdr:colOff>38100</xdr:colOff>
      <xdr:row>117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304800</xdr:colOff>
      <xdr:row>16</xdr:row>
      <xdr:rowOff>45720</xdr:rowOff>
    </xdr:from>
    <xdr:to>
      <xdr:col>87</xdr:col>
      <xdr:colOff>7620</xdr:colOff>
      <xdr:row>34</xdr:row>
      <xdr:rowOff>30480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79</xdr:col>
      <xdr:colOff>38100</xdr:colOff>
      <xdr:row>1</xdr:row>
      <xdr:rowOff>175260</xdr:rowOff>
    </xdr:from>
    <xdr:to>
      <xdr:col>88</xdr:col>
      <xdr:colOff>381000</xdr:colOff>
      <xdr:row>19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75</xdr:col>
      <xdr:colOff>464820</xdr:colOff>
      <xdr:row>8</xdr:row>
      <xdr:rowOff>53340</xdr:rowOff>
    </xdr:from>
    <xdr:to>
      <xdr:col>88</xdr:col>
      <xdr:colOff>365760</xdr:colOff>
      <xdr:row>26</xdr:row>
      <xdr:rowOff>15240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27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27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27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44</xdr:row>
      <xdr:rowOff>0</xdr:rowOff>
    </xdr:from>
    <xdr:to>
      <xdr:col>27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45</xdr:row>
      <xdr:rowOff>0</xdr:rowOff>
    </xdr:from>
    <xdr:to>
      <xdr:col>27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46</xdr:row>
      <xdr:rowOff>0</xdr:rowOff>
    </xdr:from>
    <xdr:to>
      <xdr:col>27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47</xdr:row>
      <xdr:rowOff>0</xdr:rowOff>
    </xdr:from>
    <xdr:to>
      <xdr:col>27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48</xdr:row>
      <xdr:rowOff>0</xdr:rowOff>
    </xdr:from>
    <xdr:to>
      <xdr:col>27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49</xdr:row>
      <xdr:rowOff>0</xdr:rowOff>
    </xdr:from>
    <xdr:to>
      <xdr:col>27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50</xdr:row>
      <xdr:rowOff>0</xdr:rowOff>
    </xdr:from>
    <xdr:to>
      <xdr:col>27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51</xdr:row>
      <xdr:rowOff>0</xdr:rowOff>
    </xdr:from>
    <xdr:to>
      <xdr:col>27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52</xdr:row>
      <xdr:rowOff>0</xdr:rowOff>
    </xdr:from>
    <xdr:to>
      <xdr:col>27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53340</xdr:rowOff>
    </xdr:from>
    <xdr:to>
      <xdr:col>12</xdr:col>
      <xdr:colOff>121920</xdr:colOff>
      <xdr:row>27</xdr:row>
      <xdr:rowOff>167640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D669DD85-AECE-42FF-909B-821C3B3E755B}"/>
            </a:ext>
          </a:extLst>
        </xdr:cNvPr>
        <xdr:cNvSpPr/>
      </xdr:nvSpPr>
      <xdr:spPr>
        <a:xfrm>
          <a:off x="4678680" y="525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72"/>
  <sheetViews>
    <sheetView tabSelected="1" zoomScaleNormal="100" workbookViewId="0">
      <selection activeCell="BJ86" sqref="BJ86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customWidth="1" outlineLevel="1"/>
    <col min="62" max="62" width="10.33203125" customWidth="1" outlineLevel="1"/>
    <col min="63" max="63" width="0.88671875" customWidth="1" outlineLevel="1"/>
    <col min="64" max="64" width="6.88671875" customWidth="1" outlineLevel="1"/>
    <col min="65" max="65" width="9.5546875" customWidth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83" t="s">
        <v>5</v>
      </c>
      <c r="C1" s="483"/>
      <c r="D1" s="483"/>
    </row>
    <row r="2" spans="2:89" ht="15.6" x14ac:dyDescent="0.3">
      <c r="B2" s="483" t="s">
        <v>6</v>
      </c>
      <c r="C2" s="483"/>
      <c r="D2" s="483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88" t="s">
        <v>13</v>
      </c>
      <c r="C3" s="488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84" t="s">
        <v>11</v>
      </c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11"/>
      <c r="AD4" s="328"/>
      <c r="AE4" s="450"/>
      <c r="AF4" s="450"/>
      <c r="AG4" s="450"/>
      <c r="AH4" s="450"/>
      <c r="AI4" s="12"/>
      <c r="AK4" s="499" t="s">
        <v>14</v>
      </c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500"/>
      <c r="BE4" s="500"/>
      <c r="BF4" s="500"/>
      <c r="BG4" s="500"/>
      <c r="BH4" s="500"/>
      <c r="BI4" s="500"/>
      <c r="BJ4" s="500"/>
      <c r="BK4" s="500"/>
      <c r="BL4" s="500"/>
      <c r="BM4" s="500"/>
      <c r="BN4" s="500"/>
      <c r="BO4" s="500"/>
      <c r="BP4" s="500"/>
      <c r="BQ4" s="500"/>
      <c r="BR4" s="500"/>
      <c r="BS4" s="500"/>
      <c r="BT4" s="501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489" t="s">
        <v>12</v>
      </c>
      <c r="G6" s="489"/>
      <c r="H6" s="489"/>
      <c r="I6" s="489"/>
      <c r="J6" s="489"/>
      <c r="K6" s="489"/>
      <c r="L6" s="489"/>
      <c r="M6" s="338"/>
      <c r="N6" s="338"/>
      <c r="O6" s="339"/>
      <c r="P6" s="495" t="s">
        <v>125</v>
      </c>
      <c r="Q6" s="489"/>
      <c r="R6" s="489"/>
      <c r="S6" s="489"/>
      <c r="T6" s="496"/>
      <c r="U6" s="3"/>
      <c r="V6" s="8" t="s">
        <v>7</v>
      </c>
      <c r="W6" s="30"/>
      <c r="X6" s="490">
        <v>1.2500000000000001E-2</v>
      </c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1"/>
      <c r="AJ6" s="3"/>
      <c r="AK6" s="506" t="s">
        <v>27</v>
      </c>
      <c r="AL6" s="507"/>
      <c r="AM6" s="507"/>
      <c r="AN6" s="507"/>
      <c r="AO6" s="507"/>
      <c r="AP6" s="507"/>
      <c r="AQ6" s="507"/>
      <c r="AR6" s="507"/>
      <c r="AS6" s="507"/>
      <c r="AT6" s="507"/>
      <c r="AU6" s="507"/>
      <c r="AV6" s="507"/>
      <c r="AW6" s="507"/>
      <c r="AX6" s="508"/>
      <c r="AY6" s="3"/>
      <c r="AZ6" s="509" t="s">
        <v>7</v>
      </c>
      <c r="BA6" s="503"/>
      <c r="BB6" s="503"/>
      <c r="BC6" s="97"/>
      <c r="BD6" s="502" t="s">
        <v>26</v>
      </c>
      <c r="BE6" s="502"/>
      <c r="BF6" s="502"/>
      <c r="BG6" s="502"/>
      <c r="BH6" s="502"/>
      <c r="BI6" s="502"/>
      <c r="BJ6" s="502"/>
      <c r="BK6" s="502"/>
      <c r="BL6" s="502"/>
      <c r="BM6" s="502"/>
      <c r="BN6" s="502"/>
      <c r="BO6" s="502"/>
      <c r="BP6" s="502"/>
      <c r="BQ6" s="503"/>
      <c r="BR6" s="503"/>
      <c r="BS6" s="503"/>
      <c r="BT6" s="504"/>
      <c r="BU6" s="3"/>
    </row>
    <row r="7" spans="2:89" ht="16.2" x14ac:dyDescent="0.3">
      <c r="D7" s="486" t="s">
        <v>20</v>
      </c>
      <c r="E7" s="487"/>
      <c r="F7" s="487"/>
      <c r="G7" s="487"/>
      <c r="H7" s="487"/>
      <c r="I7" s="487"/>
      <c r="J7" s="487"/>
      <c r="K7" s="468"/>
      <c r="L7" s="468"/>
      <c r="M7" s="468"/>
      <c r="N7" s="468"/>
      <c r="O7" s="469"/>
      <c r="P7" s="451"/>
      <c r="Q7" s="452"/>
      <c r="R7" s="452"/>
      <c r="S7" s="452"/>
      <c r="T7" s="340"/>
      <c r="U7" s="3"/>
      <c r="V7" s="492" t="s">
        <v>35</v>
      </c>
      <c r="W7" s="493"/>
      <c r="X7" s="493"/>
      <c r="Y7" s="493"/>
      <c r="Z7" s="493"/>
      <c r="AA7" s="493"/>
      <c r="AB7" s="493"/>
      <c r="AC7" s="493"/>
      <c r="AD7" s="493"/>
      <c r="AE7" s="493"/>
      <c r="AF7" s="493"/>
      <c r="AG7" s="493"/>
      <c r="AH7" s="493"/>
      <c r="AI7" s="494"/>
      <c r="AJ7" s="3"/>
      <c r="AK7" s="486" t="s">
        <v>77</v>
      </c>
      <c r="AL7" s="487"/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W7" s="487"/>
      <c r="AX7" s="505"/>
      <c r="AZ7" s="486" t="s">
        <v>25</v>
      </c>
      <c r="BA7" s="487"/>
      <c r="BB7" s="487"/>
      <c r="BC7" s="487"/>
      <c r="BD7" s="487"/>
      <c r="BE7" s="487"/>
      <c r="BF7" s="487"/>
      <c r="BG7" s="487"/>
      <c r="BH7" s="487"/>
      <c r="BI7" s="487"/>
      <c r="BJ7" s="487"/>
      <c r="BK7" s="487"/>
      <c r="BL7" s="487"/>
      <c r="BM7" s="487"/>
      <c r="BN7" s="487"/>
      <c r="BO7" s="487"/>
      <c r="BP7" s="487"/>
      <c r="BQ7" s="487"/>
      <c r="BR7" s="487"/>
      <c r="BS7" s="487"/>
      <c r="BT7" s="505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116</v>
      </c>
      <c r="O8" s="341"/>
      <c r="P8" s="455" t="s">
        <v>1</v>
      </c>
      <c r="Q8" s="331"/>
      <c r="R8" s="53" t="s">
        <v>80</v>
      </c>
      <c r="S8" s="331"/>
      <c r="T8" s="341"/>
      <c r="V8" s="458" t="s">
        <v>1</v>
      </c>
      <c r="W8" s="459"/>
      <c r="X8" s="460" t="s">
        <v>15</v>
      </c>
      <c r="Y8" s="459"/>
      <c r="Z8" s="461" t="s">
        <v>2</v>
      </c>
      <c r="AA8" s="459"/>
      <c r="AB8" s="462" t="s">
        <v>3</v>
      </c>
      <c r="AC8" s="459"/>
      <c r="AD8" s="463" t="s">
        <v>116</v>
      </c>
      <c r="AE8" s="464"/>
      <c r="AF8" s="458" t="s">
        <v>1</v>
      </c>
      <c r="AG8" s="457"/>
      <c r="AH8" s="463" t="s">
        <v>126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116</v>
      </c>
      <c r="AX8" s="350"/>
      <c r="AZ8" s="497" t="s">
        <v>1</v>
      </c>
      <c r="BA8" s="498"/>
      <c r="BB8" s="498"/>
      <c r="BC8" s="64"/>
      <c r="BD8" s="498" t="s">
        <v>24</v>
      </c>
      <c r="BE8" s="498"/>
      <c r="BF8" s="498"/>
      <c r="BG8" s="498"/>
      <c r="BH8" s="510"/>
      <c r="BI8" s="511" t="s">
        <v>125</v>
      </c>
      <c r="BJ8" s="512"/>
      <c r="BK8" s="512"/>
      <c r="BL8" s="513"/>
      <c r="BM8" s="497" t="s">
        <v>24</v>
      </c>
      <c r="BN8" s="498"/>
      <c r="BO8" s="498"/>
      <c r="BP8" s="64"/>
      <c r="BQ8" s="105"/>
      <c r="BR8" s="467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3" t="s">
        <v>36</v>
      </c>
      <c r="BA9" s="64"/>
      <c r="BB9" s="98" t="s">
        <v>2</v>
      </c>
      <c r="BC9" s="65"/>
      <c r="BD9" s="454" t="s">
        <v>36</v>
      </c>
      <c r="BE9" s="64"/>
      <c r="BF9" s="63" t="s">
        <v>10</v>
      </c>
      <c r="BG9" s="156"/>
      <c r="BH9" s="465" t="s">
        <v>15</v>
      </c>
      <c r="BI9" s="64"/>
      <c r="BJ9" s="454" t="s">
        <v>127</v>
      </c>
      <c r="BK9" s="64"/>
      <c r="BL9" s="63" t="s">
        <v>10</v>
      </c>
      <c r="BM9" s="466" t="s">
        <v>116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479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6"/>
      <c r="Q11" s="60"/>
      <c r="R11" s="60"/>
      <c r="S11" s="60"/>
      <c r="T11" s="42"/>
      <c r="U11" s="480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393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6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6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6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6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6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6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479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6"/>
      <c r="Q18" s="60"/>
      <c r="R18" s="60"/>
      <c r="S18" s="60"/>
      <c r="T18" s="42"/>
      <c r="U18" s="480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39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6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6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6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6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6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6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479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80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479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80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+H34+D35+5109-168+16794</f>
        <v>639396</v>
      </c>
      <c r="I35" s="333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24592.153846153848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</f>
        <v>30215</v>
      </c>
      <c r="AA35" s="343" t="s">
        <v>68</v>
      </c>
      <c r="AB35" s="46">
        <f t="shared" si="4"/>
        <v>4.7255534911072324E-2</v>
      </c>
      <c r="AC35" s="33"/>
      <c r="AD35" s="33">
        <f t="shared" si="5"/>
        <v>1162.1153846153845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6.0713548411313177E-2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669738</v>
      </c>
      <c r="I36" s="16"/>
      <c r="J36" s="38">
        <f t="shared" si="1"/>
        <v>4.7454159863371058E-2</v>
      </c>
      <c r="K36" s="16"/>
      <c r="L36" s="16"/>
      <c r="M36" s="16"/>
      <c r="N36" s="16">
        <f t="shared" si="2"/>
        <v>24805.111111111109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32833</v>
      </c>
      <c r="AA36" s="33"/>
      <c r="AB36" s="46">
        <f t="shared" si="4"/>
        <v>4.9023648053417905E-2</v>
      </c>
      <c r="AC36" s="33"/>
      <c r="AD36" s="33">
        <f t="shared" si="5"/>
        <v>1216.037037037037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7.2716495107041854E-2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699305</v>
      </c>
      <c r="I37" s="16"/>
      <c r="J37" s="38">
        <f t="shared" si="1"/>
        <v>4.4147114244674782E-2</v>
      </c>
      <c r="K37" s="16"/>
      <c r="L37" s="16"/>
      <c r="M37" s="16"/>
      <c r="N37" s="16">
        <f t="shared" si="2"/>
        <v>24975.178571428572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35009</v>
      </c>
      <c r="AA37" s="33"/>
      <c r="AB37" s="46">
        <f t="shared" si="4"/>
        <v>5.0062562115242994E-2</v>
      </c>
      <c r="AC37" s="33"/>
      <c r="AD37" s="33">
        <f t="shared" si="5"/>
        <v>1250.3214285714287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8.2235934249004369E-2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731470</v>
      </c>
      <c r="I38" s="16"/>
      <c r="J38" s="38">
        <f t="shared" si="1"/>
        <v>4.5995667126647169E-2</v>
      </c>
      <c r="K38" s="16"/>
      <c r="L38" s="16"/>
      <c r="M38" s="16"/>
      <c r="N38" s="16">
        <f t="shared" si="2"/>
        <v>25223.103448275862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37537</v>
      </c>
      <c r="AA38" s="33"/>
      <c r="AB38" s="46">
        <f t="shared" si="4"/>
        <v>5.1317210548621268E-2</v>
      </c>
      <c r="AC38" s="33"/>
      <c r="AD38" s="33">
        <f t="shared" si="5"/>
        <v>1294.3793103448277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8.2723830095560988E-2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298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760527</v>
      </c>
      <c r="I39" s="16"/>
      <c r="J39" s="38">
        <f t="shared" si="1"/>
        <v>3.9724117188674857E-2</v>
      </c>
      <c r="K39" s="16"/>
      <c r="L39" s="16"/>
      <c r="M39" s="16"/>
      <c r="N39" s="16">
        <f t="shared" si="2"/>
        <v>25350.9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39404</v>
      </c>
      <c r="AA39" s="33"/>
      <c r="AB39" s="46">
        <f t="shared" si="4"/>
        <v>5.1811441276904041E-2</v>
      </c>
      <c r="AC39" s="33"/>
      <c r="AD39" s="33">
        <f t="shared" si="5"/>
        <v>1313.4666666666667</v>
      </c>
      <c r="AE39" s="50"/>
      <c r="AF39" s="33"/>
      <c r="AG39" s="33"/>
      <c r="AH39" s="2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8.9765386370240632E-2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786710</v>
      </c>
      <c r="I40" s="16"/>
      <c r="J40" s="38">
        <f t="shared" si="1"/>
        <v>3.4427443075656747E-2</v>
      </c>
      <c r="K40" s="16"/>
      <c r="L40" s="16"/>
      <c r="M40" s="16"/>
      <c r="N40" s="16">
        <f t="shared" si="2"/>
        <v>25377.741935483871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40974</v>
      </c>
      <c r="AA40" s="33"/>
      <c r="AB40" s="46">
        <f t="shared" si="4"/>
        <v>5.2082724256714674E-2</v>
      </c>
      <c r="AC40" s="33"/>
      <c r="AD40" s="33">
        <f t="shared" si="5"/>
        <v>1321.741935483871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9.0253079279531218E-2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814853</v>
      </c>
      <c r="I41" s="16"/>
      <c r="J41" s="38">
        <f t="shared" si="1"/>
        <v>3.5773029451767489E-2</v>
      </c>
      <c r="K41" s="16"/>
      <c r="L41" s="16"/>
      <c r="M41" s="16"/>
      <c r="N41" s="16">
        <f t="shared" si="2"/>
        <v>25464.15625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42926</v>
      </c>
      <c r="AA41" s="33"/>
      <c r="AB41" s="46">
        <f t="shared" si="4"/>
        <v>5.2679440340773119E-2</v>
      </c>
      <c r="AC41" s="33"/>
      <c r="AD41" s="33">
        <f t="shared" si="5"/>
        <v>1341.4375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8.8836882235200698E-2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840958</v>
      </c>
      <c r="I42" s="16"/>
      <c r="J42" s="38">
        <f t="shared" si="1"/>
        <v>3.2036453200761365E-2</v>
      </c>
      <c r="K42" s="16"/>
      <c r="L42" s="16"/>
      <c r="M42" s="16"/>
      <c r="N42" s="16">
        <f t="shared" ref="N42:N68" si="22">+H42/BV42</f>
        <v>25483.575757575756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45609</v>
      </c>
      <c r="AA42" s="33"/>
      <c r="AB42" s="46">
        <f t="shared" ref="AB42:AB68" si="23">+Z42/H42</f>
        <v>5.4234575329564619E-2</v>
      </c>
      <c r="AC42" s="33"/>
      <c r="AD42" s="33">
        <f t="shared" ref="AD42:AD68" si="24">+Z42/BV42</f>
        <v>1382.090909090909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9.860540003186842E-2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871168</v>
      </c>
      <c r="I43" s="16"/>
      <c r="J43" s="38">
        <f t="shared" si="1"/>
        <v>3.5923316027673201E-2</v>
      </c>
      <c r="K43" s="16"/>
      <c r="L43" s="16"/>
      <c r="M43" s="16"/>
      <c r="N43" s="16">
        <f t="shared" si="22"/>
        <v>25622.588235294119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47967</v>
      </c>
      <c r="AA43" s="33"/>
      <c r="AB43" s="46">
        <f t="shared" si="23"/>
        <v>5.5060562371436965E-2</v>
      </c>
      <c r="AC43" s="33"/>
      <c r="AD43" s="33">
        <f t="shared" si="24"/>
        <v>1410.7941176470588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9.6479668674698801E-2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903068</v>
      </c>
      <c r="I44" s="16"/>
      <c r="J44" s="38">
        <f t="shared" si="1"/>
        <v>3.6617506611813108E-2</v>
      </c>
      <c r="K44" s="16"/>
      <c r="L44" s="16"/>
      <c r="M44" s="16"/>
      <c r="N44" s="16">
        <f t="shared" si="22"/>
        <v>25801.942857142858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50307</v>
      </c>
      <c r="AA44" s="33"/>
      <c r="AB44" s="46">
        <f t="shared" si="23"/>
        <v>5.5706768482550593E-2</v>
      </c>
      <c r="AC44" s="33"/>
      <c r="AD44" s="33">
        <f t="shared" si="24"/>
        <v>1437.3428571428572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9.5144551683815609E-2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941832</v>
      </c>
      <c r="I45" s="16"/>
      <c r="J45" s="38">
        <f t="shared" si="1"/>
        <v>4.292478528748666E-2</v>
      </c>
      <c r="K45" s="16"/>
      <c r="L45" s="16"/>
      <c r="M45" s="16"/>
      <c r="N45" s="16">
        <f t="shared" si="22"/>
        <v>26162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52264</v>
      </c>
      <c r="AA45" s="33"/>
      <c r="AB45" s="46">
        <f t="shared" si="23"/>
        <v>5.5491849926526171E-2</v>
      </c>
      <c r="AC45" s="33"/>
      <c r="AD45" s="33">
        <f t="shared" si="24"/>
        <v>1451.7777777777778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0.11725233374954344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479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977445</v>
      </c>
      <c r="I46" s="16"/>
      <c r="J46" s="38">
        <f t="shared" si="1"/>
        <v>3.7606494576527448E-2</v>
      </c>
      <c r="K46" s="16"/>
      <c r="L46" s="16"/>
      <c r="M46" s="16"/>
      <c r="N46" s="16">
        <f t="shared" si="22"/>
        <v>26417.432432432433</v>
      </c>
      <c r="O46" s="41"/>
      <c r="P46" s="17"/>
      <c r="Q46" s="16"/>
      <c r="R46" s="60"/>
      <c r="S46" s="16"/>
      <c r="T46" s="41"/>
      <c r="U46" s="480"/>
      <c r="V46" s="34">
        <v>2065</v>
      </c>
      <c r="W46" s="33"/>
      <c r="X46" s="33"/>
      <c r="Y46" s="33"/>
      <c r="Z46" s="33">
        <f t="shared" si="19"/>
        <v>54329</v>
      </c>
      <c r="AA46" s="33"/>
      <c r="AB46" s="46">
        <f t="shared" si="23"/>
        <v>5.5582667055435346E-2</v>
      </c>
      <c r="AC46" s="33"/>
      <c r="AD46" s="33">
        <f t="shared" si="24"/>
        <v>1468.3513513513512</v>
      </c>
      <c r="AE46" s="50"/>
      <c r="AF46" s="33"/>
      <c r="AG46" s="33"/>
      <c r="AH46" s="2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0.12088864335077677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1003954</v>
      </c>
      <c r="I47" s="16"/>
      <c r="J47" s="38">
        <f t="shared" si="1"/>
        <v>2.7120707558993089E-2</v>
      </c>
      <c r="K47" s="16"/>
      <c r="L47" s="16"/>
      <c r="M47" s="16"/>
      <c r="N47" s="16">
        <f t="shared" si="22"/>
        <v>26419.842105263157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55485</v>
      </c>
      <c r="AA47" s="33"/>
      <c r="AB47" s="46">
        <f t="shared" si="23"/>
        <v>5.5266476352502203E-2</v>
      </c>
      <c r="AC47" s="33"/>
      <c r="AD47" s="33">
        <f t="shared" si="24"/>
        <v>1460.1315789473683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0.11831318964813128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1027150</v>
      </c>
      <c r="I48" s="16"/>
      <c r="J48" s="38">
        <f t="shared" si="1"/>
        <v>2.3104644236688135E-2</v>
      </c>
      <c r="K48" s="16"/>
      <c r="L48" s="16"/>
      <c r="M48" s="16"/>
      <c r="N48" s="16">
        <f t="shared" si="22"/>
        <v>26337.179487179488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56868</v>
      </c>
      <c r="AA48" s="33"/>
      <c r="AB48" s="46">
        <f t="shared" si="23"/>
        <v>5.536484447256973E-2</v>
      </c>
      <c r="AC48" s="33"/>
      <c r="AD48" s="33">
        <f t="shared" si="24"/>
        <v>1458.1538461538462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0.13416248843888429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1052559</v>
      </c>
      <c r="I49" s="16"/>
      <c r="J49" s="38">
        <f t="shared" si="1"/>
        <v>2.4737380129484496E-2</v>
      </c>
      <c r="K49" s="16"/>
      <c r="L49" s="16"/>
      <c r="M49" s="16"/>
      <c r="N49" s="16">
        <f t="shared" si="22"/>
        <v>26313.974999999999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59338</v>
      </c>
      <c r="AA49" s="33"/>
      <c r="AB49" s="46">
        <f t="shared" si="23"/>
        <v>5.637498705535747E-2</v>
      </c>
      <c r="AC49" s="33"/>
      <c r="AD49" s="33">
        <f t="shared" si="24"/>
        <v>1483.45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0.13486274878652882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1080988</v>
      </c>
      <c r="I50" s="16"/>
      <c r="J50" s="38">
        <f t="shared" si="1"/>
        <v>2.7009412298978016E-2</v>
      </c>
      <c r="K50" s="16"/>
      <c r="L50" s="16"/>
      <c r="M50" s="16"/>
      <c r="N50" s="16">
        <f t="shared" si="22"/>
        <v>26365.560975609755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61728</v>
      </c>
      <c r="AA50" s="33"/>
      <c r="AB50" s="46">
        <f t="shared" si="23"/>
        <v>5.7103316595558874E-2</v>
      </c>
      <c r="AC50" s="33"/>
      <c r="AD50" s="33">
        <f t="shared" si="24"/>
        <v>1505.560975609756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0.13636691619148408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1111817</v>
      </c>
      <c r="I51" s="16"/>
      <c r="J51" s="38">
        <f t="shared" si="1"/>
        <v>2.8519280510051915E-2</v>
      </c>
      <c r="K51" s="16"/>
      <c r="L51" s="16"/>
      <c r="M51" s="16"/>
      <c r="N51" s="16">
        <f t="shared" si="22"/>
        <v>26471.833333333332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63929</v>
      </c>
      <c r="AA51" s="33"/>
      <c r="AB51" s="46">
        <f t="shared" si="23"/>
        <v>5.7499570522846835E-2</v>
      </c>
      <c r="AC51" s="33"/>
      <c r="AD51" s="33">
        <f t="shared" si="24"/>
        <v>1522.1190476190477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0.13700456100239519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1147824</v>
      </c>
      <c r="I52" s="16"/>
      <c r="J52" s="38">
        <f t="shared" ref="J52:J64" si="28">+D52/H51</f>
        <v>3.238572534868598E-2</v>
      </c>
      <c r="K52" s="16"/>
      <c r="L52" s="16"/>
      <c r="M52" s="16"/>
      <c r="N52" s="16">
        <f t="shared" si="22"/>
        <v>26693.581395348836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65826</v>
      </c>
      <c r="AA52" s="33"/>
      <c r="AB52" s="46">
        <f t="shared" si="23"/>
        <v>5.7348513360933384E-2</v>
      </c>
      <c r="AC52" s="33"/>
      <c r="AD52" s="33">
        <f t="shared" si="24"/>
        <v>1530.8372093023256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0.14075589985921186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479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1177568</v>
      </c>
      <c r="I53" s="16"/>
      <c r="J53" s="38">
        <f t="shared" si="28"/>
        <v>2.5913380448570514E-2</v>
      </c>
      <c r="K53" s="16"/>
      <c r="L53" s="16"/>
      <c r="M53" s="16"/>
      <c r="N53" s="16">
        <f t="shared" si="22"/>
        <v>26762.909090909092</v>
      </c>
      <c r="O53" s="41"/>
      <c r="P53" s="17"/>
      <c r="Q53" s="16"/>
      <c r="R53" s="60"/>
      <c r="S53" s="16"/>
      <c r="T53" s="41"/>
      <c r="U53" s="480"/>
      <c r="V53" s="34">
        <v>1691</v>
      </c>
      <c r="W53" s="33"/>
      <c r="X53" s="33"/>
      <c r="Y53" s="33"/>
      <c r="Z53" s="33">
        <f t="shared" si="29"/>
        <v>67517</v>
      </c>
      <c r="AA53" s="33"/>
      <c r="AB53" s="46">
        <f t="shared" si="23"/>
        <v>5.73359670099731E-2</v>
      </c>
      <c r="AC53" s="33"/>
      <c r="AD53" s="33">
        <f t="shared" si="24"/>
        <v>1534.4772727272727</v>
      </c>
      <c r="AE53" s="50"/>
      <c r="AF53" s="33"/>
      <c r="AG53" s="33"/>
      <c r="AH53" s="2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0.14718300769042636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1204916</v>
      </c>
      <c r="I54" s="16"/>
      <c r="J54" s="38">
        <f t="shared" si="28"/>
        <v>2.3224136525449062E-2</v>
      </c>
      <c r="K54" s="16"/>
      <c r="L54" s="16"/>
      <c r="M54" s="16"/>
      <c r="N54" s="16">
        <f t="shared" si="22"/>
        <v>26775.911111111112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68670</v>
      </c>
      <c r="AA54" s="33"/>
      <c r="AB54" s="46">
        <f t="shared" si="23"/>
        <v>5.6991524720395446E-2</v>
      </c>
      <c r="AC54" s="33"/>
      <c r="AD54" s="33">
        <f t="shared" si="24"/>
        <v>1526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0.14794641286197543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1229629</v>
      </c>
      <c r="I55" s="16"/>
      <c r="J55" s="38">
        <f t="shared" si="28"/>
        <v>2.0510143445684182E-2</v>
      </c>
      <c r="K55" s="16"/>
      <c r="L55" s="16"/>
      <c r="M55" s="16"/>
      <c r="N55" s="16">
        <f t="shared" si="22"/>
        <v>26731.065217391304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69994</v>
      </c>
      <c r="AA55" s="33"/>
      <c r="AB55" s="46">
        <f t="shared" si="23"/>
        <v>5.692286047254904E-2</v>
      </c>
      <c r="AC55" s="33"/>
      <c r="AD55" s="33">
        <f t="shared" si="24"/>
        <v>1521.608695652174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0.15291360239551929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1254427</v>
      </c>
      <c r="I56" s="16"/>
      <c r="J56" s="38">
        <f t="shared" si="28"/>
        <v>2.0167058519276953E-2</v>
      </c>
      <c r="K56" s="16"/>
      <c r="L56" s="16"/>
      <c r="M56" s="16"/>
      <c r="N56" s="16">
        <f t="shared" si="22"/>
        <v>26689.936170212764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72344</v>
      </c>
      <c r="AA56" s="33"/>
      <c r="AB56" s="46">
        <f t="shared" si="23"/>
        <v>5.7670952554433219E-2</v>
      </c>
      <c r="AC56" s="33"/>
      <c r="AD56" s="33">
        <f t="shared" si="24"/>
        <v>1539.2340425531916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0.1599343764124975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1279886</v>
      </c>
      <c r="I57" s="16"/>
      <c r="J57" s="38">
        <f t="shared" si="28"/>
        <v>2.0295322087295634E-2</v>
      </c>
      <c r="K57" s="16"/>
      <c r="L57" s="16"/>
      <c r="M57" s="16"/>
      <c r="N57" s="16">
        <f t="shared" si="22"/>
        <v>26664.291666666668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74872</v>
      </c>
      <c r="AA57" s="33"/>
      <c r="AB57" s="46">
        <f t="shared" si="23"/>
        <v>5.8498960063630666E-2</v>
      </c>
      <c r="AC57" s="33"/>
      <c r="AD57" s="33">
        <f t="shared" si="24"/>
        <v>1559.8333333333333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0.16119248120535734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1309417</v>
      </c>
      <c r="I58" s="16"/>
      <c r="J58" s="38">
        <f t="shared" si="28"/>
        <v>2.3073148702306298E-2</v>
      </c>
      <c r="K58" s="16"/>
      <c r="L58" s="16"/>
      <c r="M58" s="16"/>
      <c r="N58" s="16">
        <f t="shared" si="22"/>
        <v>26722.795918367348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77001</v>
      </c>
      <c r="AA58" s="33"/>
      <c r="AB58" s="46">
        <f t="shared" si="23"/>
        <v>5.8805560031678222E-2</v>
      </c>
      <c r="AC58" s="33"/>
      <c r="AD58" s="33">
        <f t="shared" si="24"/>
        <v>1571.4489795918366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0.16591353251103352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1338579</v>
      </c>
      <c r="I59" s="16"/>
      <c r="J59" s="38">
        <f t="shared" si="28"/>
        <v>2.2270980138489115E-2</v>
      </c>
      <c r="K59" s="16"/>
      <c r="L59" s="16"/>
      <c r="M59" s="16"/>
      <c r="N59" s="16">
        <f t="shared" si="22"/>
        <v>26771.58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78688</v>
      </c>
      <c r="AA59" s="33"/>
      <c r="AB59" s="46">
        <f t="shared" si="23"/>
        <v>5.8784726190983128E-2</v>
      </c>
      <c r="AC59" s="33"/>
      <c r="AD59" s="33">
        <f t="shared" si="24"/>
        <v>1573.76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0.16686351720742668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479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1364103</v>
      </c>
      <c r="I60" s="16"/>
      <c r="J60" s="38">
        <f t="shared" si="28"/>
        <v>1.9067981792632336E-2</v>
      </c>
      <c r="K60" s="16"/>
      <c r="L60" s="16"/>
      <c r="M60" s="16"/>
      <c r="N60" s="16">
        <f t="shared" si="22"/>
        <v>26747.117647058825</v>
      </c>
      <c r="O60" s="41"/>
      <c r="P60" s="17"/>
      <c r="Q60" s="16"/>
      <c r="R60" s="60"/>
      <c r="S60" s="16"/>
      <c r="T60" s="41"/>
      <c r="U60" s="480"/>
      <c r="V60" s="34">
        <v>1422</v>
      </c>
      <c r="W60" s="33"/>
      <c r="X60" s="33"/>
      <c r="Y60" s="33"/>
      <c r="Z60" s="33">
        <f t="shared" si="29"/>
        <v>80110</v>
      </c>
      <c r="AA60" s="33"/>
      <c r="AB60" s="46">
        <f t="shared" si="23"/>
        <v>5.8727236872875434E-2</v>
      </c>
      <c r="AC60" s="33"/>
      <c r="AD60" s="33">
        <f t="shared" si="24"/>
        <v>1570.7843137254902</v>
      </c>
      <c r="AE60" s="50"/>
      <c r="AF60" s="33"/>
      <c r="AG60" s="33"/>
      <c r="AH60" s="2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0.17453080889053099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1384432</v>
      </c>
      <c r="I61" s="16"/>
      <c r="J61" s="38">
        <f t="shared" si="28"/>
        <v>1.4902833583680998E-2</v>
      </c>
      <c r="K61" s="16"/>
      <c r="L61" s="16"/>
      <c r="M61" s="16"/>
      <c r="N61" s="16">
        <f t="shared" si="22"/>
        <v>26623.692307692309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80860</v>
      </c>
      <c r="AA61" s="33"/>
      <c r="AB61" s="46">
        <f t="shared" si="23"/>
        <v>5.8406624521825559E-2</v>
      </c>
      <c r="AC61" s="33"/>
      <c r="AD61" s="33">
        <f t="shared" si="24"/>
        <v>1555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0.1851560784495013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1402628</v>
      </c>
      <c r="I62" s="16"/>
      <c r="J62" s="38">
        <f t="shared" si="28"/>
        <v>1.3143296312133785E-2</v>
      </c>
      <c r="K62" s="16"/>
      <c r="L62" s="16"/>
      <c r="M62" s="16"/>
      <c r="N62" s="16">
        <f t="shared" si="22"/>
        <v>26464.67924528302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81920</v>
      </c>
      <c r="AA62" s="33"/>
      <c r="AB62" s="46">
        <f t="shared" si="23"/>
        <v>5.8404651839261731E-2</v>
      </c>
      <c r="AC62" s="33"/>
      <c r="AD62" s="33">
        <f t="shared" si="24"/>
        <v>1545.6603773584907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0.18695263462585945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1425430</v>
      </c>
      <c r="I63" s="16"/>
      <c r="J63" s="38">
        <f t="shared" si="28"/>
        <v>1.6256626846177319E-2</v>
      </c>
      <c r="K63" s="16"/>
      <c r="L63" s="16"/>
      <c r="M63" s="16"/>
      <c r="N63" s="16">
        <f t="shared" si="22"/>
        <v>26396.85185185185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83791</v>
      </c>
      <c r="AA63" s="33"/>
      <c r="AB63" s="46">
        <f t="shared" si="23"/>
        <v>5.8782963737258234E-2</v>
      </c>
      <c r="AC63" s="33"/>
      <c r="AD63" s="33">
        <f t="shared" si="24"/>
        <v>1551.6851851851852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0.19800270795479258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1447142</v>
      </c>
      <c r="I64" s="16"/>
      <c r="J64" s="38">
        <f t="shared" si="28"/>
        <v>1.5231894936966389E-2</v>
      </c>
      <c r="K64" s="16"/>
      <c r="L64" s="16"/>
      <c r="M64" s="16"/>
      <c r="N64" s="16">
        <f t="shared" si="22"/>
        <v>26311.672727272726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85613</v>
      </c>
      <c r="AA64" s="33"/>
      <c r="AB64" s="46">
        <f t="shared" si="23"/>
        <v>5.9160054783842911E-2</v>
      </c>
      <c r="AC64" s="33"/>
      <c r="AD64" s="33">
        <f t="shared" si="24"/>
        <v>1556.6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0.21439430270146262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7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5">+H64+D65</f>
        <v>1474387</v>
      </c>
      <c r="I65" s="16"/>
      <c r="J65" s="38">
        <f t="shared" ref="J65:J96" si="36">+D65/H64</f>
        <v>1.8826763372219175E-2</v>
      </c>
      <c r="K65" s="16"/>
      <c r="L65" s="16"/>
      <c r="M65" s="16"/>
      <c r="N65" s="16">
        <f t="shared" si="22"/>
        <v>26328.339285714286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7">+Z64+V65</f>
        <v>87366</v>
      </c>
      <c r="AA65" s="33"/>
      <c r="AB65" s="46">
        <f t="shared" si="23"/>
        <v>5.9255812754724503E-2</v>
      </c>
      <c r="AC65" s="33"/>
      <c r="AD65" s="33">
        <f t="shared" si="24"/>
        <v>1560.1071428571429</v>
      </c>
      <c r="AE65" s="50"/>
      <c r="AF65" s="33"/>
      <c r="AG65" s="33"/>
      <c r="AH65" s="33"/>
      <c r="AI65" s="50"/>
      <c r="AJ65" s="1"/>
      <c r="AK65" s="23">
        <f t="shared" ref="AK65:AK96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39">+AK65/AO64</f>
        <v>2.4502109527846091E-2</v>
      </c>
      <c r="AR65" s="25"/>
      <c r="AS65" s="25"/>
      <c r="AT65" s="24"/>
      <c r="AU65" s="344">
        <f t="shared" si="25"/>
        <v>0.21558858020316241</v>
      </c>
      <c r="AV65" s="344"/>
      <c r="AW65" s="24">
        <f t="shared" si="26"/>
        <v>5676.0892857142853</v>
      </c>
      <c r="AX65" s="354"/>
      <c r="AY65" s="1"/>
      <c r="AZ65" s="66">
        <f t="shared" ref="AZ65:AZ96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7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si="35"/>
        <v>1501079</v>
      </c>
      <c r="I66" s="16"/>
      <c r="J66" s="38">
        <f t="shared" si="36"/>
        <v>1.8103795000905462E-2</v>
      </c>
      <c r="K66" s="16"/>
      <c r="L66" s="16"/>
      <c r="M66" s="16"/>
      <c r="N66" s="16">
        <f t="shared" si="22"/>
        <v>26334.719298245614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7"/>
        <v>88968</v>
      </c>
      <c r="AA66" s="33"/>
      <c r="AB66" s="46">
        <f t="shared" si="23"/>
        <v>5.9269365569700194E-2</v>
      </c>
      <c r="AC66" s="33"/>
      <c r="AD66" s="33">
        <f t="shared" si="24"/>
        <v>1560.8421052631579</v>
      </c>
      <c r="AE66" s="50"/>
      <c r="AF66" s="33"/>
      <c r="AG66" s="33"/>
      <c r="AH66" s="33"/>
      <c r="AI66" s="50"/>
      <c r="AJ66" s="1"/>
      <c r="AK66" s="23">
        <f t="shared" si="38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39"/>
        <v>2.6366871053699573E-2</v>
      </c>
      <c r="AR66" s="25"/>
      <c r="AS66" s="25"/>
      <c r="AT66" s="24"/>
      <c r="AU66" s="344">
        <f t="shared" si="25"/>
        <v>0.21733832796275213</v>
      </c>
      <c r="AV66" s="344"/>
      <c r="AW66" s="24">
        <f t="shared" si="26"/>
        <v>5723.5438596491231</v>
      </c>
      <c r="AX66" s="354"/>
      <c r="AY66" s="1"/>
      <c r="AZ66" s="66">
        <f t="shared" si="40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1"/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74" x14ac:dyDescent="0.3">
      <c r="B67" s="479">
        <f t="shared" si="6"/>
        <v>43967</v>
      </c>
      <c r="C67" s="61"/>
      <c r="D67" s="17">
        <v>23488</v>
      </c>
      <c r="E67" s="16"/>
      <c r="F67" s="16"/>
      <c r="G67" s="16"/>
      <c r="H67" s="16">
        <f t="shared" si="35"/>
        <v>1524567</v>
      </c>
      <c r="I67" s="16"/>
      <c r="J67" s="38">
        <f t="shared" si="36"/>
        <v>1.5647410962381061E-2</v>
      </c>
      <c r="K67" s="16"/>
      <c r="L67" s="16"/>
      <c r="M67" s="16"/>
      <c r="N67" s="16">
        <f t="shared" si="22"/>
        <v>26285.637931034482</v>
      </c>
      <c r="O67" s="41"/>
      <c r="P67" s="17"/>
      <c r="Q67" s="16"/>
      <c r="R67" s="60"/>
      <c r="S67" s="16"/>
      <c r="T67" s="41"/>
      <c r="U67" s="480"/>
      <c r="V67" s="34">
        <v>1218</v>
      </c>
      <c r="W67" s="33"/>
      <c r="X67" s="33"/>
      <c r="Y67" s="33"/>
      <c r="Z67" s="33">
        <f t="shared" si="37"/>
        <v>90186</v>
      </c>
      <c r="AA67" s="33"/>
      <c r="AB67" s="46">
        <f t="shared" si="23"/>
        <v>5.9155156841253942E-2</v>
      </c>
      <c r="AC67" s="33"/>
      <c r="AD67" s="33">
        <f t="shared" si="24"/>
        <v>1554.9310344827586</v>
      </c>
      <c r="AE67" s="50"/>
      <c r="AF67" s="33"/>
      <c r="AG67" s="33"/>
      <c r="AH67" s="233"/>
      <c r="AI67" s="50"/>
      <c r="AJ67" s="1"/>
      <c r="AK67" s="23">
        <f t="shared" si="38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39"/>
        <v>3.981706831125361E-2</v>
      </c>
      <c r="AR67" s="25"/>
      <c r="AS67" s="25"/>
      <c r="AT67" s="24"/>
      <c r="AU67" s="344">
        <f t="shared" si="25"/>
        <v>0.22251039147508769</v>
      </c>
      <c r="AV67" s="344"/>
      <c r="AW67" s="24">
        <f t="shared" si="26"/>
        <v>5848.8275862068967</v>
      </c>
      <c r="AX67" s="354"/>
      <c r="AY67" s="1"/>
      <c r="AZ67" s="66">
        <f t="shared" si="40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1"/>
        <v>5.4029558916556447E-2</v>
      </c>
      <c r="BG67" s="67"/>
      <c r="BH67" s="185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7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si="35"/>
        <v>1544458</v>
      </c>
      <c r="I68" s="16"/>
      <c r="J68" s="38">
        <f t="shared" si="36"/>
        <v>1.3046983176206752E-2</v>
      </c>
      <c r="K68" s="16"/>
      <c r="L68" s="16"/>
      <c r="M68" s="16"/>
      <c r="N68" s="16">
        <f t="shared" si="22"/>
        <v>26177.254237288136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si="37"/>
        <v>91051</v>
      </c>
      <c r="AA68" s="33"/>
      <c r="AB68" s="46">
        <f t="shared" si="23"/>
        <v>5.895336745965251E-2</v>
      </c>
      <c r="AC68" s="33"/>
      <c r="AD68" s="33">
        <f t="shared" si="24"/>
        <v>1543.2372881355932</v>
      </c>
      <c r="AE68" s="50"/>
      <c r="AF68" s="33">
        <f>SUM(V62:V68)</f>
        <v>10191</v>
      </c>
      <c r="AG68" s="33"/>
      <c r="AH68" s="233">
        <f>+(AF68-AF61)/AF61</f>
        <v>-0.16398687448728466</v>
      </c>
      <c r="AI68" s="50"/>
      <c r="AJ68" s="394"/>
      <c r="AK68" s="23">
        <f t="shared" si="38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39"/>
        <v>2.109765588152061E-2</v>
      </c>
      <c r="AR68" s="25"/>
      <c r="AS68" s="25"/>
      <c r="AT68" s="24"/>
      <c r="AU68" s="344">
        <f t="shared" si="25"/>
        <v>0.22427867899288942</v>
      </c>
      <c r="AV68" s="344"/>
      <c r="AW68" s="24">
        <f t="shared" si="26"/>
        <v>5871</v>
      </c>
      <c r="AX68" s="354"/>
      <c r="AY68" s="394"/>
      <c r="AZ68" s="66">
        <f t="shared" si="40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1"/>
        <v>5.6838736408966868E-2</v>
      </c>
      <c r="BG68" s="67"/>
      <c r="BH68" s="185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7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si="35"/>
        <v>1567088</v>
      </c>
      <c r="I69" s="16"/>
      <c r="J69" s="38">
        <f t="shared" si="36"/>
        <v>1.4652389381906144E-2</v>
      </c>
      <c r="K69" s="16"/>
      <c r="L69" s="16"/>
      <c r="M69" s="16"/>
      <c r="N69" s="16">
        <f t="shared" ref="N69:N96" si="42">+H69/BV69</f>
        <v>26118.133333333335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7"/>
        <v>92054</v>
      </c>
      <c r="AA69" s="33"/>
      <c r="AB69" s="46">
        <f t="shared" ref="AB69:AB96" si="43">+Z69/H69</f>
        <v>5.8742074471886709E-2</v>
      </c>
      <c r="AC69" s="33"/>
      <c r="AD69" s="33">
        <f t="shared" ref="AD69:AD96" si="44">+Z69/BV69</f>
        <v>1534.2333333333333</v>
      </c>
      <c r="AE69" s="50"/>
      <c r="AF69" s="33"/>
      <c r="AG69" s="33"/>
      <c r="AH69" s="233"/>
      <c r="AI69" s="50"/>
      <c r="AJ69" s="10"/>
      <c r="AK69" s="23">
        <f t="shared" si="38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39"/>
        <v>2.8851955460479403E-2</v>
      </c>
      <c r="AR69" s="25"/>
      <c r="AS69" s="25"/>
      <c r="AT69" s="24"/>
      <c r="AU69" s="344">
        <f t="shared" ref="AU69:AU96" si="45">+AO69/H69</f>
        <v>0.22741734988717927</v>
      </c>
      <c r="AV69" s="344"/>
      <c r="AW69" s="24">
        <f t="shared" ref="AW69:AW96" si="46">+AO69/BV69</f>
        <v>5939.7166666666662</v>
      </c>
      <c r="AX69" s="354"/>
      <c r="AY69" s="10"/>
      <c r="AZ69" s="66">
        <f t="shared" si="40"/>
        <v>425164</v>
      </c>
      <c r="BA69" s="67"/>
      <c r="BB69" s="67">
        <v>12300744</v>
      </c>
      <c r="BC69" s="67"/>
      <c r="BD69" s="67">
        <f t="shared" ref="BD69:BD96" si="47">+D69</f>
        <v>22630</v>
      </c>
      <c r="BE69" s="67"/>
      <c r="BF69" s="157">
        <f t="shared" si="41"/>
        <v>5.3226519648888429E-2</v>
      </c>
      <c r="BG69" s="67"/>
      <c r="BH69" s="185"/>
      <c r="BI69" s="67"/>
      <c r="BJ69" s="67"/>
      <c r="BK69" s="67"/>
      <c r="BL69" s="157"/>
      <c r="BM69" s="66">
        <f t="shared" ref="BM69:BM96" si="48">+BB69/BV69</f>
        <v>205012.4</v>
      </c>
      <c r="BN69" s="67"/>
      <c r="BO69" s="67">
        <f t="shared" ref="BO69:BO96" si="49">+BO68+BD69</f>
        <v>1297972</v>
      </c>
      <c r="BP69" s="67"/>
      <c r="BQ69" s="74">
        <f t="shared" ref="BQ69:BQ96" si="50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7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si="35"/>
        <v>1587377</v>
      </c>
      <c r="I70" s="16"/>
      <c r="J70" s="38">
        <f t="shared" si="36"/>
        <v>1.2946943630478953E-2</v>
      </c>
      <c r="K70" s="16"/>
      <c r="L70" s="16"/>
      <c r="M70" s="16"/>
      <c r="N70" s="16">
        <f t="shared" si="42"/>
        <v>26022.573770491803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7"/>
        <v>93606</v>
      </c>
      <c r="AA70" s="33"/>
      <c r="AB70" s="46">
        <f t="shared" si="43"/>
        <v>5.8968978383836981E-2</v>
      </c>
      <c r="AC70" s="33"/>
      <c r="AD70" s="33">
        <f t="shared" si="44"/>
        <v>1534.5245901639344</v>
      </c>
      <c r="AE70" s="50"/>
      <c r="AF70" s="33"/>
      <c r="AG70" s="33"/>
      <c r="AH70" s="233"/>
      <c r="AI70" s="50"/>
      <c r="AJ70" s="10"/>
      <c r="AK70" s="23">
        <f t="shared" si="38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39"/>
        <v>1.346023800237385E-2</v>
      </c>
      <c r="AR70" s="25"/>
      <c r="AS70" s="25"/>
      <c r="AT70" s="24"/>
      <c r="AU70" s="344">
        <f t="shared" si="45"/>
        <v>0.2275325899266526</v>
      </c>
      <c r="AV70" s="344"/>
      <c r="AW70" s="24">
        <f t="shared" si="46"/>
        <v>5920.9836065573772</v>
      </c>
      <c r="AX70" s="354"/>
      <c r="AY70" s="10"/>
      <c r="AZ70" s="66">
        <f t="shared" si="40"/>
        <v>344729</v>
      </c>
      <c r="BA70" s="67"/>
      <c r="BB70" s="67">
        <v>12645473</v>
      </c>
      <c r="BC70" s="67"/>
      <c r="BD70" s="67">
        <f t="shared" si="47"/>
        <v>20289</v>
      </c>
      <c r="BE70" s="67"/>
      <c r="BF70" s="157">
        <f t="shared" si="41"/>
        <v>5.8854926623521667E-2</v>
      </c>
      <c r="BG70" s="67"/>
      <c r="BH70" s="185"/>
      <c r="BI70" s="67"/>
      <c r="BJ70" s="67"/>
      <c r="BK70" s="67"/>
      <c r="BL70" s="157"/>
      <c r="BM70" s="66">
        <f t="shared" si="48"/>
        <v>207302.83606557376</v>
      </c>
      <c r="BN70" s="67"/>
      <c r="BO70" s="67">
        <f t="shared" si="49"/>
        <v>1318261</v>
      </c>
      <c r="BP70" s="67"/>
      <c r="BQ70" s="74">
        <f t="shared" si="50"/>
        <v>0.10424766238479177</v>
      </c>
      <c r="BR70" s="67"/>
      <c r="BS70" s="86"/>
      <c r="BT70" s="185"/>
      <c r="BU70" s="1"/>
      <c r="BV70">
        <f t="shared" si="11"/>
        <v>61</v>
      </c>
    </row>
    <row r="71" spans="2:7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si="35"/>
        <v>1609517</v>
      </c>
      <c r="I71" s="16"/>
      <c r="J71" s="38">
        <f t="shared" si="36"/>
        <v>1.3947537352500382E-2</v>
      </c>
      <c r="K71" s="16"/>
      <c r="L71" s="16"/>
      <c r="M71" s="16"/>
      <c r="N71" s="16">
        <f t="shared" si="42"/>
        <v>25959.951612903227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7"/>
        <v>95009</v>
      </c>
      <c r="AA71" s="33"/>
      <c r="AB71" s="46">
        <f t="shared" si="43"/>
        <v>5.9029510095264602E-2</v>
      </c>
      <c r="AC71" s="33"/>
      <c r="AD71" s="33">
        <f t="shared" si="44"/>
        <v>1532.4032258064517</v>
      </c>
      <c r="AE71" s="50"/>
      <c r="AF71" s="33"/>
      <c r="AG71" s="33"/>
      <c r="AH71" s="233"/>
      <c r="AI71" s="50"/>
      <c r="AJ71" s="10"/>
      <c r="AK71" s="23">
        <f t="shared" si="38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39"/>
        <v>2.4630378204773245E-2</v>
      </c>
      <c r="AR71" s="25"/>
      <c r="AS71" s="25"/>
      <c r="AT71" s="24"/>
      <c r="AU71" s="344">
        <f t="shared" si="45"/>
        <v>0.22992984851977333</v>
      </c>
      <c r="AV71" s="344"/>
      <c r="AW71" s="24">
        <f t="shared" si="46"/>
        <v>5968.9677419354839</v>
      </c>
      <c r="AX71" s="354"/>
      <c r="AY71" s="10"/>
      <c r="AZ71" s="66">
        <f t="shared" si="40"/>
        <v>323101</v>
      </c>
      <c r="BA71" s="67"/>
      <c r="BB71" s="67">
        <v>12968574</v>
      </c>
      <c r="BC71" s="67"/>
      <c r="BD71" s="67">
        <f t="shared" si="47"/>
        <v>22140</v>
      </c>
      <c r="BE71" s="67"/>
      <c r="BF71" s="157">
        <f t="shared" si="41"/>
        <v>6.8523464798932843E-2</v>
      </c>
      <c r="BG71" s="67"/>
      <c r="BH71" s="185"/>
      <c r="BI71" s="67"/>
      <c r="BJ71" s="67"/>
      <c r="BK71" s="67"/>
      <c r="BL71" s="157"/>
      <c r="BM71" s="66">
        <f t="shared" si="48"/>
        <v>209170.54838709679</v>
      </c>
      <c r="BN71" s="67"/>
      <c r="BO71" s="67">
        <f t="shared" si="49"/>
        <v>1340401</v>
      </c>
      <c r="BP71" s="67"/>
      <c r="BQ71" s="74">
        <f t="shared" si="50"/>
        <v>0.10335762436178411</v>
      </c>
      <c r="BR71" s="67"/>
      <c r="BS71" s="86"/>
      <c r="BT71" s="185"/>
      <c r="BU71" s="1"/>
      <c r="BV71">
        <f t="shared" si="11"/>
        <v>62</v>
      </c>
    </row>
    <row r="72" spans="2:74" x14ac:dyDescent="0.3">
      <c r="B72" s="173">
        <f t="shared" si="6"/>
        <v>43972</v>
      </c>
      <c r="C72" s="61"/>
      <c r="D72" s="17">
        <v>28175</v>
      </c>
      <c r="E72" s="16"/>
      <c r="F72" s="16"/>
      <c r="G72" s="16"/>
      <c r="H72" s="16">
        <f t="shared" si="35"/>
        <v>1637692</v>
      </c>
      <c r="I72" s="16"/>
      <c r="J72" s="38">
        <f t="shared" si="36"/>
        <v>1.7505251575472641E-2</v>
      </c>
      <c r="K72" s="16"/>
      <c r="L72" s="16"/>
      <c r="M72" s="16"/>
      <c r="N72" s="16">
        <f t="shared" si="42"/>
        <v>25995.111111111109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7"/>
        <v>96427</v>
      </c>
      <c r="AA72" s="33"/>
      <c r="AB72" s="46">
        <f t="shared" si="43"/>
        <v>5.8879813786719359E-2</v>
      </c>
      <c r="AC72" s="33"/>
      <c r="AD72" s="33">
        <f t="shared" si="44"/>
        <v>1530.5873015873017</v>
      </c>
      <c r="AE72" s="50"/>
      <c r="AF72" s="33"/>
      <c r="AG72" s="33"/>
      <c r="AH72" s="233"/>
      <c r="AI72" s="50"/>
      <c r="AJ72" s="10"/>
      <c r="AK72" s="23">
        <f t="shared" si="38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39"/>
        <v>3.2677071736616263E-2</v>
      </c>
      <c r="AR72" s="25"/>
      <c r="AS72" s="25"/>
      <c r="AT72" s="24"/>
      <c r="AU72" s="344">
        <f t="shared" si="45"/>
        <v>0.2333582871504532</v>
      </c>
      <c r="AV72" s="344"/>
      <c r="AW72" s="24">
        <f t="shared" si="46"/>
        <v>6066.1746031746034</v>
      </c>
      <c r="AX72" s="354"/>
      <c r="AY72" s="10"/>
      <c r="AZ72" s="66">
        <f t="shared" si="40"/>
        <v>470540</v>
      </c>
      <c r="BA72" s="67"/>
      <c r="BB72" s="67">
        <v>13439114</v>
      </c>
      <c r="BC72" s="67"/>
      <c r="BD72" s="67">
        <f t="shared" si="47"/>
        <v>28175</v>
      </c>
      <c r="BE72" s="67"/>
      <c r="BF72" s="157">
        <f t="shared" si="41"/>
        <v>5.9878012496280872E-2</v>
      </c>
      <c r="BG72" s="67"/>
      <c r="BH72" s="185"/>
      <c r="BI72" s="67"/>
      <c r="BJ72" s="67"/>
      <c r="BK72" s="67"/>
      <c r="BL72" s="157"/>
      <c r="BM72" s="66">
        <f t="shared" si="48"/>
        <v>213319.26984126985</v>
      </c>
      <c r="BN72" s="67"/>
      <c r="BO72" s="67">
        <f t="shared" si="49"/>
        <v>1368576</v>
      </c>
      <c r="BP72" s="67"/>
      <c r="BQ72" s="74">
        <f t="shared" si="50"/>
        <v>0.10183528467724881</v>
      </c>
      <c r="BR72" s="67"/>
      <c r="BS72" s="86"/>
      <c r="BT72" s="185"/>
      <c r="BU72" s="1"/>
      <c r="BV72">
        <f t="shared" si="11"/>
        <v>63</v>
      </c>
    </row>
    <row r="73" spans="2:74" x14ac:dyDescent="0.3">
      <c r="B73" s="173">
        <f t="shared" si="6"/>
        <v>43973</v>
      </c>
      <c r="C73" s="61"/>
      <c r="D73" s="17">
        <v>24002</v>
      </c>
      <c r="E73" s="16"/>
      <c r="F73" s="16"/>
      <c r="G73" s="16"/>
      <c r="H73" s="16">
        <f t="shared" si="35"/>
        <v>1661694</v>
      </c>
      <c r="I73" s="16"/>
      <c r="J73" s="38">
        <f t="shared" si="36"/>
        <v>1.4655991480693562E-2</v>
      </c>
      <c r="K73" s="16"/>
      <c r="L73" s="16"/>
      <c r="M73" s="16"/>
      <c r="N73" s="16">
        <f t="shared" si="42"/>
        <v>25963.96875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7"/>
        <v>97720</v>
      </c>
      <c r="AA73" s="33"/>
      <c r="AB73" s="46">
        <f t="shared" si="43"/>
        <v>5.8807457931484376E-2</v>
      </c>
      <c r="AC73" s="33"/>
      <c r="AD73" s="33">
        <f t="shared" si="44"/>
        <v>1526.875</v>
      </c>
      <c r="AE73" s="50"/>
      <c r="AF73" s="33"/>
      <c r="AG73" s="33"/>
      <c r="AH73" s="233"/>
      <c r="AI73" s="50"/>
      <c r="AJ73" s="10"/>
      <c r="AK73" s="23">
        <f t="shared" si="38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39"/>
        <v>0.13456873791437821</v>
      </c>
      <c r="AR73" s="25"/>
      <c r="AS73" s="25"/>
      <c r="AT73" s="24"/>
      <c r="AU73" s="344">
        <f t="shared" si="45"/>
        <v>0.26093673083010471</v>
      </c>
      <c r="AV73" s="344"/>
      <c r="AW73" s="24">
        <f t="shared" si="46"/>
        <v>6774.953125</v>
      </c>
      <c r="AX73" s="354"/>
      <c r="AY73" s="10"/>
      <c r="AZ73" s="66">
        <f t="shared" si="40"/>
        <v>470791</v>
      </c>
      <c r="BA73" s="67"/>
      <c r="BB73" s="67">
        <v>13909905</v>
      </c>
      <c r="BC73" s="67"/>
      <c r="BD73" s="67">
        <f t="shared" si="47"/>
        <v>24002</v>
      </c>
      <c r="BE73" s="67"/>
      <c r="BF73" s="157">
        <f t="shared" si="41"/>
        <v>5.0982283008808582E-2</v>
      </c>
      <c r="BG73" s="67"/>
      <c r="BH73" s="185"/>
      <c r="BI73" s="67"/>
      <c r="BJ73" s="67"/>
      <c r="BK73" s="67"/>
      <c r="BL73" s="157"/>
      <c r="BM73" s="66">
        <f t="shared" si="48"/>
        <v>217342.265625</v>
      </c>
      <c r="BN73" s="67"/>
      <c r="BO73" s="67">
        <f t="shared" si="49"/>
        <v>1392578</v>
      </c>
      <c r="BP73" s="67"/>
      <c r="BQ73" s="74">
        <f t="shared" si="50"/>
        <v>0.10011412730712395</v>
      </c>
      <c r="BR73" s="67"/>
      <c r="BS73" s="86"/>
      <c r="BT73" s="185"/>
      <c r="BU73" s="1"/>
      <c r="BV73">
        <f t="shared" si="11"/>
        <v>64</v>
      </c>
    </row>
    <row r="74" spans="2:74" x14ac:dyDescent="0.3">
      <c r="B74" s="478">
        <f t="shared" si="6"/>
        <v>43974</v>
      </c>
      <c r="C74" s="61"/>
      <c r="D74" s="17">
        <v>21928</v>
      </c>
      <c r="E74" s="16"/>
      <c r="F74" s="16"/>
      <c r="G74" s="16"/>
      <c r="H74" s="16">
        <f t="shared" si="35"/>
        <v>1683622</v>
      </c>
      <c r="I74" s="16"/>
      <c r="J74" s="38">
        <f t="shared" si="36"/>
        <v>1.31961720990748E-2</v>
      </c>
      <c r="K74" s="16"/>
      <c r="L74" s="16"/>
      <c r="M74" s="16"/>
      <c r="N74" s="16">
        <f t="shared" si="42"/>
        <v>25901.876923076925</v>
      </c>
      <c r="O74" s="41"/>
      <c r="P74" s="17"/>
      <c r="Q74" s="16"/>
      <c r="R74" s="60"/>
      <c r="S74" s="16"/>
      <c r="T74" s="41"/>
      <c r="U74" s="480"/>
      <c r="V74" s="34">
        <v>1036</v>
      </c>
      <c r="W74" s="33"/>
      <c r="X74" s="33"/>
      <c r="Y74" s="33"/>
      <c r="Z74" s="33">
        <f t="shared" si="37"/>
        <v>98756</v>
      </c>
      <c r="AA74" s="33"/>
      <c r="AB74" s="46">
        <f t="shared" si="43"/>
        <v>5.8656871910678289E-2</v>
      </c>
      <c r="AC74" s="33"/>
      <c r="AD74" s="33">
        <f t="shared" si="44"/>
        <v>1519.323076923077</v>
      </c>
      <c r="AE74" s="50"/>
      <c r="AF74" s="33"/>
      <c r="AG74" s="33"/>
      <c r="AH74" s="233"/>
      <c r="AI74" s="50"/>
      <c r="AJ74" s="10"/>
      <c r="AK74" s="23">
        <f t="shared" si="38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39"/>
        <v>3.0712850873045709E-2</v>
      </c>
      <c r="AR74" s="25"/>
      <c r="AS74" s="25"/>
      <c r="AT74" s="24"/>
      <c r="AU74" s="344">
        <f t="shared" si="45"/>
        <v>0.26544794496626917</v>
      </c>
      <c r="AV74" s="344"/>
      <c r="AW74" s="24">
        <f t="shared" si="46"/>
        <v>6875.6</v>
      </c>
      <c r="AX74" s="354"/>
      <c r="AY74" s="10"/>
      <c r="AZ74" s="66">
        <f t="shared" si="40"/>
        <v>448064</v>
      </c>
      <c r="BA74" s="67"/>
      <c r="BB74" s="67">
        <v>14357969</v>
      </c>
      <c r="BC74" s="67"/>
      <c r="BD74" s="67">
        <f t="shared" si="47"/>
        <v>21928</v>
      </c>
      <c r="BE74" s="67"/>
      <c r="BF74" s="157">
        <f t="shared" si="41"/>
        <v>4.8939437223253821E-2</v>
      </c>
      <c r="BG74" s="67"/>
      <c r="BH74" s="185"/>
      <c r="BI74" s="67"/>
      <c r="BJ74" s="67"/>
      <c r="BK74" s="67"/>
      <c r="BL74" s="157"/>
      <c r="BM74" s="66">
        <f t="shared" si="48"/>
        <v>220891.83076923076</v>
      </c>
      <c r="BN74" s="67"/>
      <c r="BO74" s="67">
        <f t="shared" si="49"/>
        <v>1414506</v>
      </c>
      <c r="BP74" s="67"/>
      <c r="BQ74" s="74">
        <f t="shared" si="50"/>
        <v>9.8517137068620225E-2</v>
      </c>
      <c r="BR74" s="67"/>
      <c r="BS74" s="86"/>
      <c r="BT74" s="185"/>
      <c r="BU74" s="1"/>
      <c r="BV74">
        <f t="shared" si="11"/>
        <v>65</v>
      </c>
    </row>
    <row r="75" spans="2:74" x14ac:dyDescent="0.3">
      <c r="B75" s="393">
        <f t="shared" si="6"/>
        <v>43975</v>
      </c>
      <c r="C75" s="61"/>
      <c r="D75" s="17">
        <v>19608</v>
      </c>
      <c r="E75" s="16"/>
      <c r="F75" s="16"/>
      <c r="G75" s="16"/>
      <c r="H75" s="16">
        <f t="shared" si="35"/>
        <v>1703230</v>
      </c>
      <c r="I75" s="16"/>
      <c r="J75" s="38">
        <f t="shared" si="36"/>
        <v>1.1646319660826481E-2</v>
      </c>
      <c r="K75" s="16"/>
      <c r="L75" s="16"/>
      <c r="M75" s="16"/>
      <c r="N75" s="16">
        <f t="shared" si="42"/>
        <v>25806.515151515152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4"/>
      <c r="V75" s="34">
        <v>617</v>
      </c>
      <c r="W75" s="33"/>
      <c r="X75" s="33"/>
      <c r="Y75" s="33"/>
      <c r="Z75" s="33">
        <f t="shared" si="37"/>
        <v>99373</v>
      </c>
      <c r="AA75" s="33"/>
      <c r="AB75" s="46">
        <f t="shared" si="43"/>
        <v>5.8343852562484221E-2</v>
      </c>
      <c r="AC75" s="33"/>
      <c r="AD75" s="33">
        <f t="shared" si="44"/>
        <v>1505.6515151515152</v>
      </c>
      <c r="AE75" s="50"/>
      <c r="AF75" s="33">
        <f>SUM(V69:V75)</f>
        <v>8322</v>
      </c>
      <c r="AG75" s="33"/>
      <c r="AH75" s="233">
        <f>+(AF75-AF68)/AF68</f>
        <v>-0.1833971151015602</v>
      </c>
      <c r="AI75" s="50"/>
      <c r="AJ75" s="394"/>
      <c r="AK75" s="23">
        <f t="shared" si="38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39"/>
        <v>1.0713470600607723E-2</v>
      </c>
      <c r="AR75" s="25"/>
      <c r="AS75" s="25"/>
      <c r="AT75" s="24"/>
      <c r="AU75" s="344">
        <f t="shared" si="45"/>
        <v>0.26520317279521849</v>
      </c>
      <c r="AV75" s="344"/>
      <c r="AW75" s="24">
        <f t="shared" si="46"/>
        <v>6843.969696969697</v>
      </c>
      <c r="AX75" s="354"/>
      <c r="AY75" s="394"/>
      <c r="AZ75" s="66">
        <f t="shared" si="40"/>
        <v>391787</v>
      </c>
      <c r="BA75" s="67"/>
      <c r="BB75" s="67">
        <v>14749756</v>
      </c>
      <c r="BC75" s="67"/>
      <c r="BD75" s="67">
        <f t="shared" si="47"/>
        <v>19608</v>
      </c>
      <c r="BE75" s="67"/>
      <c r="BF75" s="157">
        <f t="shared" si="41"/>
        <v>5.0047602396199979E-2</v>
      </c>
      <c r="BG75" s="67"/>
      <c r="BH75" s="185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8"/>
        <v>223481.15151515152</v>
      </c>
      <c r="BN75" s="67"/>
      <c r="BO75" s="67">
        <f t="shared" si="49"/>
        <v>1434114</v>
      </c>
      <c r="BP75" s="67"/>
      <c r="BQ75" s="74">
        <f t="shared" si="50"/>
        <v>9.7229676206169111E-2</v>
      </c>
      <c r="BR75" s="67"/>
      <c r="BS75" s="86"/>
      <c r="BT75" s="185"/>
      <c r="BU75" s="1"/>
      <c r="BV75">
        <f t="shared" si="11"/>
        <v>66</v>
      </c>
    </row>
    <row r="76" spans="2:74" x14ac:dyDescent="0.3">
      <c r="B76" s="173">
        <f t="shared" si="6"/>
        <v>43976</v>
      </c>
      <c r="C76" s="61"/>
      <c r="D76" s="17">
        <v>19790</v>
      </c>
      <c r="E76" s="16"/>
      <c r="F76" s="16"/>
      <c r="G76" s="16"/>
      <c r="H76" s="16">
        <f t="shared" si="35"/>
        <v>1723020</v>
      </c>
      <c r="I76" s="16"/>
      <c r="J76" s="38">
        <f t="shared" si="36"/>
        <v>1.1619100180245768E-2</v>
      </c>
      <c r="K76" s="16"/>
      <c r="L76" s="16"/>
      <c r="M76" s="16"/>
      <c r="N76" s="16">
        <f t="shared" si="42"/>
        <v>25716.716417910447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7"/>
        <v>99878</v>
      </c>
      <c r="AA76" s="33"/>
      <c r="AB76" s="46">
        <f t="shared" si="43"/>
        <v>5.7966825689777249E-2</v>
      </c>
      <c r="AC76" s="33"/>
      <c r="AD76" s="33">
        <f t="shared" si="44"/>
        <v>1490.7164179104477</v>
      </c>
      <c r="AE76" s="50"/>
      <c r="AF76" s="33"/>
      <c r="AG76" s="33"/>
      <c r="AH76" s="233"/>
      <c r="AI76" s="50"/>
      <c r="AJ76" s="10"/>
      <c r="AK76" s="23">
        <f t="shared" si="38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39"/>
        <v>2.8709193229164362E-2</v>
      </c>
      <c r="AR76" s="25"/>
      <c r="AS76" s="25"/>
      <c r="AT76" s="24"/>
      <c r="AU76" s="344">
        <f t="shared" si="45"/>
        <v>0.2696834627572518</v>
      </c>
      <c r="AV76" s="344"/>
      <c r="AW76" s="24">
        <f t="shared" si="46"/>
        <v>6935.373134328358</v>
      </c>
      <c r="AX76" s="354"/>
      <c r="AY76" s="10"/>
      <c r="AZ76" s="66">
        <f t="shared" si="40"/>
        <v>437891</v>
      </c>
      <c r="BA76" s="67"/>
      <c r="BB76" s="67">
        <v>15187647</v>
      </c>
      <c r="BC76" s="67"/>
      <c r="BD76" s="67">
        <f t="shared" si="47"/>
        <v>19790</v>
      </c>
      <c r="BE76" s="67"/>
      <c r="BF76" s="157">
        <f t="shared" si="41"/>
        <v>4.5193895284442932E-2</v>
      </c>
      <c r="BG76" s="67"/>
      <c r="BH76" s="185"/>
      <c r="BI76" s="67"/>
      <c r="BJ76" s="67"/>
      <c r="BK76" s="67"/>
      <c r="BL76" s="157"/>
      <c r="BM76" s="66">
        <f t="shared" si="48"/>
        <v>226681.29850746269</v>
      </c>
      <c r="BN76" s="67"/>
      <c r="BO76" s="67">
        <f t="shared" si="49"/>
        <v>1453904</v>
      </c>
      <c r="BP76" s="67"/>
      <c r="BQ76" s="74">
        <f t="shared" si="50"/>
        <v>9.572937796091785E-2</v>
      </c>
      <c r="BR76" s="67"/>
      <c r="BS76" s="86"/>
      <c r="BT76" s="185"/>
      <c r="BU76" s="1"/>
      <c r="BV76">
        <f t="shared" si="11"/>
        <v>67</v>
      </c>
    </row>
    <row r="77" spans="2:74" x14ac:dyDescent="0.3">
      <c r="B77" s="173">
        <f t="shared" ref="B77:B101" si="51">1+B76</f>
        <v>43977</v>
      </c>
      <c r="C77" s="61"/>
      <c r="D77" s="17">
        <v>19031</v>
      </c>
      <c r="E77" s="16"/>
      <c r="F77" s="16"/>
      <c r="G77" s="16"/>
      <c r="H77" s="16">
        <f t="shared" si="35"/>
        <v>1742051</v>
      </c>
      <c r="I77" s="16"/>
      <c r="J77" s="38">
        <f t="shared" si="36"/>
        <v>1.1045141669858736E-2</v>
      </c>
      <c r="K77" s="16"/>
      <c r="L77" s="16"/>
      <c r="M77" s="16"/>
      <c r="N77" s="16">
        <f t="shared" si="42"/>
        <v>25618.397058823528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7"/>
        <v>100652</v>
      </c>
      <c r="AA77" s="33"/>
      <c r="AB77" s="46">
        <f t="shared" si="43"/>
        <v>5.7777872174810035E-2</v>
      </c>
      <c r="AC77" s="33"/>
      <c r="AD77" s="33">
        <f t="shared" si="44"/>
        <v>1480.1764705882354</v>
      </c>
      <c r="AE77" s="50"/>
      <c r="AF77" s="33"/>
      <c r="AG77" s="33"/>
      <c r="AH77" s="233"/>
      <c r="AI77" s="50"/>
      <c r="AJ77" s="10"/>
      <c r="AK77" s="23">
        <f t="shared" si="38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39"/>
        <v>3.2924441001140593E-2</v>
      </c>
      <c r="AR77" s="25"/>
      <c r="AS77" s="25"/>
      <c r="AT77" s="24"/>
      <c r="AU77" s="344">
        <f t="shared" si="45"/>
        <v>0.27551948823541905</v>
      </c>
      <c r="AV77" s="344"/>
      <c r="AW77" s="24">
        <f t="shared" si="46"/>
        <v>7058.3676470588234</v>
      </c>
      <c r="AX77" s="354"/>
      <c r="AY77" s="10"/>
      <c r="AZ77" s="66">
        <f t="shared" si="40"/>
        <v>344512</v>
      </c>
      <c r="BA77" s="67"/>
      <c r="BB77" s="67">
        <v>15532159</v>
      </c>
      <c r="BC77" s="67"/>
      <c r="BD77" s="67">
        <f t="shared" si="47"/>
        <v>19031</v>
      </c>
      <c r="BE77" s="67"/>
      <c r="BF77" s="157">
        <f t="shared" si="41"/>
        <v>5.5240456065391047E-2</v>
      </c>
      <c r="BG77" s="67"/>
      <c r="BH77" s="185"/>
      <c r="BI77" s="67"/>
      <c r="BJ77" s="67"/>
      <c r="BK77" s="67"/>
      <c r="BL77" s="157"/>
      <c r="BM77" s="66">
        <f t="shared" si="48"/>
        <v>228414.10294117648</v>
      </c>
      <c r="BN77" s="67"/>
      <c r="BO77" s="67">
        <f t="shared" si="49"/>
        <v>1472935</v>
      </c>
      <c r="BP77" s="67"/>
      <c r="BQ77" s="74">
        <f t="shared" si="50"/>
        <v>9.4831310959410081E-2</v>
      </c>
      <c r="BR77" s="67"/>
      <c r="BS77" s="86"/>
      <c r="BT77" s="185"/>
      <c r="BU77" s="1"/>
      <c r="BV77">
        <f t="shared" ref="BV77:BV101" si="52">+BV76+1</f>
        <v>68</v>
      </c>
    </row>
    <row r="78" spans="2:74" x14ac:dyDescent="0.3">
      <c r="B78" s="173">
        <f t="shared" si="51"/>
        <v>43978</v>
      </c>
      <c r="C78" s="61"/>
      <c r="D78" s="17">
        <v>20546</v>
      </c>
      <c r="E78" s="16"/>
      <c r="F78" s="16"/>
      <c r="G78" s="16"/>
      <c r="H78" s="16">
        <f t="shared" si="35"/>
        <v>1762597</v>
      </c>
      <c r="I78" s="16"/>
      <c r="J78" s="38">
        <f t="shared" si="36"/>
        <v>1.1794143799463966E-2</v>
      </c>
      <c r="K78" s="16"/>
      <c r="L78" s="16"/>
      <c r="M78" s="16"/>
      <c r="N78" s="16">
        <f t="shared" si="42"/>
        <v>25544.884057971016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7"/>
        <v>102180</v>
      </c>
      <c r="AA78" s="33"/>
      <c r="AB78" s="46">
        <f t="shared" si="43"/>
        <v>5.7971277609118819E-2</v>
      </c>
      <c r="AC78" s="33"/>
      <c r="AD78" s="33">
        <f t="shared" si="44"/>
        <v>1480.8695652173913</v>
      </c>
      <c r="AE78" s="50"/>
      <c r="AF78" s="33"/>
      <c r="AG78" s="33"/>
      <c r="AH78" s="233"/>
      <c r="AI78" s="50"/>
      <c r="AJ78" s="10"/>
      <c r="AK78" s="23">
        <f t="shared" si="38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39"/>
        <v>2.1170117236738208E-2</v>
      </c>
      <c r="AR78" s="25"/>
      <c r="AS78" s="25"/>
      <c r="AT78" s="24"/>
      <c r="AU78" s="344">
        <f t="shared" si="45"/>
        <v>0.27807263940651211</v>
      </c>
      <c r="AV78" s="344"/>
      <c r="AW78" s="24">
        <f t="shared" si="46"/>
        <v>7103.333333333333</v>
      </c>
      <c r="AX78" s="354"/>
      <c r="AY78" s="10"/>
      <c r="AZ78" s="66">
        <f t="shared" si="40"/>
        <v>343314</v>
      </c>
      <c r="BA78" s="67"/>
      <c r="BB78" s="67">
        <v>15875473</v>
      </c>
      <c r="BC78" s="67"/>
      <c r="BD78" s="67">
        <f t="shared" si="47"/>
        <v>20546</v>
      </c>
      <c r="BE78" s="67"/>
      <c r="BF78" s="157">
        <f t="shared" si="41"/>
        <v>5.9846088420512998E-2</v>
      </c>
      <c r="BG78" s="67"/>
      <c r="BH78" s="185"/>
      <c r="BI78" s="67"/>
      <c r="BJ78" s="67"/>
      <c r="BK78" s="67"/>
      <c r="BL78" s="157"/>
      <c r="BM78" s="66">
        <f t="shared" si="48"/>
        <v>230079.31884057971</v>
      </c>
      <c r="BN78" s="67"/>
      <c r="BO78" s="67">
        <f t="shared" si="49"/>
        <v>1493481</v>
      </c>
      <c r="BP78" s="67"/>
      <c r="BQ78" s="74">
        <f t="shared" si="50"/>
        <v>9.4074740324272543E-2</v>
      </c>
      <c r="BR78" s="67"/>
      <c r="BS78" s="86"/>
      <c r="BT78" s="185"/>
      <c r="BU78" s="1"/>
      <c r="BV78">
        <f t="shared" si="52"/>
        <v>69</v>
      </c>
    </row>
    <row r="79" spans="2:74" x14ac:dyDescent="0.3">
      <c r="B79" s="173">
        <f t="shared" si="51"/>
        <v>43979</v>
      </c>
      <c r="C79" s="61"/>
      <c r="D79" s="17">
        <v>22658</v>
      </c>
      <c r="E79" s="16"/>
      <c r="F79" s="16"/>
      <c r="G79" s="16"/>
      <c r="H79" s="16">
        <f t="shared" si="35"/>
        <v>1785255</v>
      </c>
      <c r="I79" s="16"/>
      <c r="J79" s="38">
        <f t="shared" si="36"/>
        <v>1.2854895361787182E-2</v>
      </c>
      <c r="K79" s="16"/>
      <c r="L79" s="16"/>
      <c r="M79" s="16"/>
      <c r="N79" s="16">
        <f t="shared" si="42"/>
        <v>25503.642857142859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7"/>
        <v>103403</v>
      </c>
      <c r="AA79" s="33"/>
      <c r="AB79" s="46">
        <f t="shared" si="43"/>
        <v>5.7920577172448751E-2</v>
      </c>
      <c r="AC79" s="33"/>
      <c r="AD79" s="33">
        <f t="shared" si="44"/>
        <v>1477.1857142857143</v>
      </c>
      <c r="AE79" s="50"/>
      <c r="AF79" s="33"/>
      <c r="AG79" s="33"/>
      <c r="AH79" s="233"/>
      <c r="AI79" s="50"/>
      <c r="AJ79" s="10"/>
      <c r="AK79" s="23">
        <f t="shared" si="38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39"/>
        <v>1.7536163874890334E-2</v>
      </c>
      <c r="AR79" s="25"/>
      <c r="AS79" s="25"/>
      <c r="AT79" s="24"/>
      <c r="AU79" s="344">
        <f t="shared" si="45"/>
        <v>0.27935785083923587</v>
      </c>
      <c r="AV79" s="344"/>
      <c r="AW79" s="24">
        <f t="shared" si="46"/>
        <v>7124.6428571428569</v>
      </c>
      <c r="AX79" s="354"/>
      <c r="AY79" s="10"/>
      <c r="AZ79" s="66">
        <f t="shared" si="40"/>
        <v>455839</v>
      </c>
      <c r="BA79" s="67"/>
      <c r="BB79" s="67">
        <v>16331312</v>
      </c>
      <c r="BC79" s="67"/>
      <c r="BD79" s="67">
        <f t="shared" si="47"/>
        <v>22658</v>
      </c>
      <c r="BE79" s="67"/>
      <c r="BF79" s="157">
        <f t="shared" si="41"/>
        <v>4.9706146249004581E-2</v>
      </c>
      <c r="BG79" s="67"/>
      <c r="BH79" s="185"/>
      <c r="BI79" s="67"/>
      <c r="BJ79" s="67"/>
      <c r="BK79" s="67"/>
      <c r="BL79" s="157"/>
      <c r="BM79" s="66">
        <f t="shared" si="48"/>
        <v>233304.45714285714</v>
      </c>
      <c r="BN79" s="67"/>
      <c r="BO79" s="67">
        <f t="shared" si="49"/>
        <v>1516139</v>
      </c>
      <c r="BP79" s="67"/>
      <c r="BQ79" s="74">
        <f t="shared" si="50"/>
        <v>9.2836325703654424E-2</v>
      </c>
      <c r="BR79" s="67"/>
      <c r="BS79" s="86"/>
      <c r="BT79" s="185"/>
      <c r="BU79" s="1"/>
      <c r="BV79">
        <f t="shared" si="52"/>
        <v>70</v>
      </c>
    </row>
    <row r="80" spans="2:74" x14ac:dyDescent="0.3">
      <c r="B80" s="173">
        <f t="shared" si="51"/>
        <v>43980</v>
      </c>
      <c r="C80" s="61"/>
      <c r="D80" s="17">
        <v>25069</v>
      </c>
      <c r="E80" s="16"/>
      <c r="F80" s="16"/>
      <c r="G80" s="16"/>
      <c r="H80" s="16">
        <f t="shared" si="35"/>
        <v>1810324</v>
      </c>
      <c r="I80" s="16"/>
      <c r="J80" s="38">
        <f t="shared" si="36"/>
        <v>1.4042251667128785E-2</v>
      </c>
      <c r="K80" s="16"/>
      <c r="L80" s="16"/>
      <c r="M80" s="16"/>
      <c r="N80" s="16">
        <f t="shared" si="42"/>
        <v>25497.521126760563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7"/>
        <v>104615</v>
      </c>
      <c r="AA80" s="33"/>
      <c r="AB80" s="46">
        <f t="shared" si="43"/>
        <v>5.7787998170493238E-2</v>
      </c>
      <c r="AC80" s="33"/>
      <c r="AD80" s="33">
        <f t="shared" si="44"/>
        <v>1473.4507042253522</v>
      </c>
      <c r="AE80" s="50"/>
      <c r="AF80" s="33"/>
      <c r="AG80" s="33"/>
      <c r="AH80" s="233"/>
      <c r="AI80" s="50"/>
      <c r="AJ80" s="10"/>
      <c r="AK80" s="23">
        <f t="shared" si="38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39"/>
        <v>4.1794576169231538E-2</v>
      </c>
      <c r="AR80" s="25"/>
      <c r="AS80" s="25"/>
      <c r="AT80" s="24"/>
      <c r="AU80" s="344">
        <f t="shared" si="45"/>
        <v>0.28700332095249248</v>
      </c>
      <c r="AV80" s="344"/>
      <c r="AW80" s="24">
        <f t="shared" si="46"/>
        <v>7317.8732394366198</v>
      </c>
      <c r="AX80" s="354"/>
      <c r="AY80" s="10"/>
      <c r="AZ80" s="66">
        <f t="shared" si="40"/>
        <v>479466</v>
      </c>
      <c r="BA80" s="67"/>
      <c r="BB80" s="67">
        <v>16810778</v>
      </c>
      <c r="BC80" s="67"/>
      <c r="BD80" s="67">
        <f t="shared" si="47"/>
        <v>25069</v>
      </c>
      <c r="BE80" s="67"/>
      <c r="BF80" s="157">
        <f t="shared" si="41"/>
        <v>5.2285250674708947E-2</v>
      </c>
      <c r="BG80" s="67"/>
      <c r="BH80" s="185"/>
      <c r="BI80" s="67"/>
      <c r="BJ80" s="67"/>
      <c r="BK80" s="67"/>
      <c r="BL80" s="157"/>
      <c r="BM80" s="66">
        <f t="shared" si="48"/>
        <v>236771.52112676058</v>
      </c>
      <c r="BN80" s="67"/>
      <c r="BO80" s="67">
        <f t="shared" si="49"/>
        <v>1541208</v>
      </c>
      <c r="BP80" s="67"/>
      <c r="BQ80" s="74">
        <f t="shared" si="50"/>
        <v>9.1679754500356855E-2</v>
      </c>
      <c r="BR80" s="67"/>
      <c r="BS80" s="86"/>
      <c r="BT80" s="185"/>
      <c r="BU80" s="1"/>
      <c r="BV80">
        <f t="shared" si="52"/>
        <v>71</v>
      </c>
    </row>
    <row r="81" spans="2:74" x14ac:dyDescent="0.3">
      <c r="B81" s="478">
        <f t="shared" si="51"/>
        <v>43981</v>
      </c>
      <c r="C81" s="61"/>
      <c r="D81" s="17">
        <v>23290</v>
      </c>
      <c r="E81" s="16"/>
      <c r="F81" s="16"/>
      <c r="G81" s="16"/>
      <c r="H81" s="16">
        <f t="shared" si="35"/>
        <v>1833614</v>
      </c>
      <c r="I81" s="16"/>
      <c r="J81" s="38">
        <f t="shared" si="36"/>
        <v>1.2865100390869258E-2</v>
      </c>
      <c r="K81" s="16"/>
      <c r="L81" s="16"/>
      <c r="M81" s="16"/>
      <c r="N81" s="16">
        <f t="shared" si="42"/>
        <v>25466.861111111109</v>
      </c>
      <c r="O81" s="41"/>
      <c r="P81" s="17"/>
      <c r="Q81" s="16"/>
      <c r="R81" s="60"/>
      <c r="S81" s="16"/>
      <c r="T81" s="41"/>
      <c r="U81" s="480"/>
      <c r="V81" s="34">
        <v>1015</v>
      </c>
      <c r="W81" s="33"/>
      <c r="X81" s="33"/>
      <c r="Y81" s="33"/>
      <c r="Z81" s="33">
        <f t="shared" si="37"/>
        <v>105630</v>
      </c>
      <c r="AA81" s="33"/>
      <c r="AB81" s="46">
        <f t="shared" si="43"/>
        <v>5.7607544445014057E-2</v>
      </c>
      <c r="AC81" s="33"/>
      <c r="AD81" s="33">
        <f t="shared" si="44"/>
        <v>1467.0833333333333</v>
      </c>
      <c r="AE81" s="50"/>
      <c r="AF81" s="33"/>
      <c r="AG81" s="33"/>
      <c r="AH81" s="233"/>
      <c r="AI81" s="50"/>
      <c r="AJ81" s="10"/>
      <c r="AK81" s="23">
        <f t="shared" si="38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39"/>
        <v>3.0157688391724679E-2</v>
      </c>
      <c r="AR81" s="25"/>
      <c r="AS81" s="25"/>
      <c r="AT81" s="24"/>
      <c r="AU81" s="344">
        <f t="shared" si="45"/>
        <v>0.29190331225656002</v>
      </c>
      <c r="AV81" s="344"/>
      <c r="AW81" s="24">
        <f t="shared" si="46"/>
        <v>7433.8611111111113</v>
      </c>
      <c r="AX81" s="354"/>
      <c r="AY81" s="10"/>
      <c r="AZ81" s="66">
        <f t="shared" si="40"/>
        <v>460063</v>
      </c>
      <c r="BA81" s="67"/>
      <c r="BB81" s="67">
        <v>17270841</v>
      </c>
      <c r="BC81" s="67"/>
      <c r="BD81" s="67">
        <f t="shared" si="47"/>
        <v>23290</v>
      </c>
      <c r="BE81" s="67"/>
      <c r="BF81" s="157">
        <f t="shared" si="41"/>
        <v>5.0623501563916248E-2</v>
      </c>
      <c r="BG81" s="67"/>
      <c r="BH81" s="185"/>
      <c r="BI81" s="67"/>
      <c r="BJ81" s="67"/>
      <c r="BK81" s="67"/>
      <c r="BL81" s="157"/>
      <c r="BM81" s="66">
        <f t="shared" si="48"/>
        <v>239872.79166666666</v>
      </c>
      <c r="BN81" s="67"/>
      <c r="BO81" s="67">
        <f t="shared" si="49"/>
        <v>1564498</v>
      </c>
      <c r="BP81" s="67"/>
      <c r="BQ81" s="74">
        <f t="shared" si="50"/>
        <v>9.0586092478067509E-2</v>
      </c>
      <c r="BR81" s="67"/>
      <c r="BS81" s="86"/>
      <c r="BT81" s="185"/>
      <c r="BU81" s="1"/>
      <c r="BV81">
        <f t="shared" si="52"/>
        <v>72</v>
      </c>
    </row>
    <row r="82" spans="2:74" x14ac:dyDescent="0.3">
      <c r="B82" s="393">
        <f t="shared" si="51"/>
        <v>43982</v>
      </c>
      <c r="C82" s="61"/>
      <c r="D82" s="17">
        <v>20350</v>
      </c>
      <c r="E82" s="16"/>
      <c r="F82" s="16"/>
      <c r="G82" s="16"/>
      <c r="H82" s="16">
        <f t="shared" si="35"/>
        <v>1853964</v>
      </c>
      <c r="I82" s="16"/>
      <c r="J82" s="38">
        <f t="shared" si="36"/>
        <v>1.1098300951018044E-2</v>
      </c>
      <c r="K82" s="16"/>
      <c r="L82" s="16"/>
      <c r="M82" s="16"/>
      <c r="N82" s="16">
        <f t="shared" si="42"/>
        <v>25396.767123287671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4"/>
      <c r="V82" s="34">
        <v>638</v>
      </c>
      <c r="W82" s="33"/>
      <c r="X82" s="33"/>
      <c r="Y82" s="33"/>
      <c r="Z82" s="33">
        <f t="shared" si="37"/>
        <v>106268</v>
      </c>
      <c r="AA82" s="33"/>
      <c r="AB82" s="46">
        <f t="shared" si="43"/>
        <v>5.7319343849179381E-2</v>
      </c>
      <c r="AC82" s="33"/>
      <c r="AD82" s="33">
        <f t="shared" si="44"/>
        <v>1455.7260273972602</v>
      </c>
      <c r="AE82" s="50"/>
      <c r="AF82" s="33">
        <f>SUM(V76:V82)</f>
        <v>6895</v>
      </c>
      <c r="AG82" s="33"/>
      <c r="AH82" s="233">
        <f>+(AF82-AF75)/AF75</f>
        <v>-0.17147320355683729</v>
      </c>
      <c r="AI82" s="50"/>
      <c r="AJ82" s="394"/>
      <c r="AK82" s="23">
        <f t="shared" si="38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39"/>
        <v>0.12074815315803437</v>
      </c>
      <c r="AR82" s="25"/>
      <c r="AS82" s="25"/>
      <c r="AT82" s="24"/>
      <c r="AU82" s="344">
        <f t="shared" si="45"/>
        <v>0.32355914138570113</v>
      </c>
      <c r="AV82" s="344"/>
      <c r="AW82" s="24">
        <f t="shared" si="46"/>
        <v>8217.3561643835619</v>
      </c>
      <c r="AX82" s="354"/>
      <c r="AY82" s="394"/>
      <c r="AZ82" s="66">
        <f t="shared" si="40"/>
        <v>401726</v>
      </c>
      <c r="BA82" s="67"/>
      <c r="BB82" s="67">
        <v>17672567</v>
      </c>
      <c r="BC82" s="67"/>
      <c r="BD82" s="67">
        <f t="shared" si="47"/>
        <v>20350</v>
      </c>
      <c r="BE82" s="67"/>
      <c r="BF82" s="157">
        <f t="shared" si="41"/>
        <v>5.0656417558236209E-2</v>
      </c>
      <c r="BG82" s="67"/>
      <c r="BH82" s="185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8"/>
        <v>242089.95890410958</v>
      </c>
      <c r="BN82" s="67"/>
      <c r="BO82" s="67">
        <f t="shared" si="49"/>
        <v>1584848</v>
      </c>
      <c r="BP82" s="67"/>
      <c r="BQ82" s="74">
        <f t="shared" si="50"/>
        <v>8.9678426456100011E-2</v>
      </c>
      <c r="BR82" s="67"/>
      <c r="BS82" s="86"/>
      <c r="BT82" s="185"/>
      <c r="BU82" s="1"/>
      <c r="BV82">
        <f t="shared" si="52"/>
        <v>73</v>
      </c>
    </row>
    <row r="83" spans="2:74" x14ac:dyDescent="0.3">
      <c r="B83" s="173">
        <f t="shared" si="51"/>
        <v>43983</v>
      </c>
      <c r="C83" s="61"/>
      <c r="D83" s="17">
        <v>22153</v>
      </c>
      <c r="E83" s="16"/>
      <c r="F83" s="16"/>
      <c r="G83" s="16"/>
      <c r="H83" s="16">
        <f t="shared" si="35"/>
        <v>1876117</v>
      </c>
      <c r="I83" s="16"/>
      <c r="J83" s="38">
        <f t="shared" si="36"/>
        <v>1.1948991458302319E-2</v>
      </c>
      <c r="K83" s="16"/>
      <c r="L83" s="16"/>
      <c r="M83" s="16"/>
      <c r="N83" s="16">
        <f t="shared" si="42"/>
        <v>25352.932432432433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7"/>
        <v>106998</v>
      </c>
      <c r="AA83" s="33"/>
      <c r="AB83" s="46">
        <f t="shared" si="43"/>
        <v>5.7031624360314413E-2</v>
      </c>
      <c r="AC83" s="33"/>
      <c r="AD83" s="33">
        <f t="shared" si="44"/>
        <v>1445.918918918919</v>
      </c>
      <c r="AE83" s="50"/>
      <c r="AF83" s="33"/>
      <c r="AG83" s="33"/>
      <c r="AH83" s="233"/>
      <c r="AI83" s="50"/>
      <c r="AJ83" s="10"/>
      <c r="AK83" s="23">
        <f t="shared" si="38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39"/>
        <v>2.5774046580325307E-2</v>
      </c>
      <c r="AR83" s="25"/>
      <c r="AS83" s="25"/>
      <c r="AT83" s="24"/>
      <c r="AU83" s="344">
        <f t="shared" si="45"/>
        <v>0.32797954498573384</v>
      </c>
      <c r="AV83" s="344"/>
      <c r="AW83" s="24">
        <f t="shared" si="46"/>
        <v>8315.2432432432433</v>
      </c>
      <c r="AX83" s="354"/>
      <c r="AY83" s="10"/>
      <c r="AZ83" s="66">
        <f t="shared" si="40"/>
        <v>477486</v>
      </c>
      <c r="BA83" s="67"/>
      <c r="BB83" s="67">
        <v>18150053</v>
      </c>
      <c r="BC83" s="67"/>
      <c r="BD83" s="67">
        <f t="shared" si="47"/>
        <v>22153</v>
      </c>
      <c r="BE83" s="67"/>
      <c r="BF83" s="157">
        <f t="shared" si="41"/>
        <v>4.6395077552011998E-2</v>
      </c>
      <c r="BG83" s="67"/>
      <c r="BH83" s="185"/>
      <c r="BI83" s="67"/>
      <c r="BJ83" s="67">
        <f>+BJ82/7</f>
        <v>417544.42857142858</v>
      </c>
      <c r="BK83" s="67"/>
      <c r="BL83" s="157"/>
      <c r="BM83" s="66">
        <f t="shared" si="48"/>
        <v>245270.98648648648</v>
      </c>
      <c r="BN83" s="67"/>
      <c r="BO83" s="67">
        <f t="shared" si="49"/>
        <v>1607001</v>
      </c>
      <c r="BP83" s="67"/>
      <c r="BQ83" s="74">
        <f t="shared" si="50"/>
        <v>8.8539741454198503E-2</v>
      </c>
      <c r="BR83" s="67"/>
      <c r="BS83" s="86"/>
      <c r="BT83" s="185"/>
      <c r="BU83" s="1"/>
      <c r="BV83">
        <f t="shared" si="52"/>
        <v>74</v>
      </c>
    </row>
    <row r="84" spans="2:74" x14ac:dyDescent="0.3">
      <c r="B84" s="173">
        <f t="shared" si="51"/>
        <v>43984</v>
      </c>
      <c r="C84" s="61"/>
      <c r="D84" s="17">
        <v>21882</v>
      </c>
      <c r="E84" s="16"/>
      <c r="F84" s="16"/>
      <c r="G84" s="16"/>
      <c r="H84" s="16">
        <f t="shared" si="35"/>
        <v>1897999</v>
      </c>
      <c r="I84" s="16"/>
      <c r="J84" s="38">
        <f t="shared" si="36"/>
        <v>1.1663451693044731E-2</v>
      </c>
      <c r="K84" s="16"/>
      <c r="L84" s="16"/>
      <c r="M84" s="16"/>
      <c r="N84" s="16">
        <f t="shared" si="42"/>
        <v>25306.653333333332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7"/>
        <v>108132</v>
      </c>
      <c r="AA84" s="33"/>
      <c r="AB84" s="46">
        <f t="shared" si="43"/>
        <v>5.6971579015584306E-2</v>
      </c>
      <c r="AC84" s="33"/>
      <c r="AD84" s="33">
        <f t="shared" si="44"/>
        <v>1441.76</v>
      </c>
      <c r="AE84" s="50"/>
      <c r="AF84" s="33"/>
      <c r="AG84" s="33"/>
      <c r="AH84" s="233"/>
      <c r="AI84" s="50"/>
      <c r="AJ84" s="10"/>
      <c r="AK84" s="23">
        <f t="shared" si="38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39"/>
        <v>4.9320037443444799E-2</v>
      </c>
      <c r="AR84" s="25"/>
      <c r="AS84" s="25"/>
      <c r="AT84" s="24"/>
      <c r="AU84" s="344">
        <f t="shared" si="45"/>
        <v>0.34018774509364863</v>
      </c>
      <c r="AV84" s="344"/>
      <c r="AW84" s="24">
        <f t="shared" si="46"/>
        <v>8609.0133333333342</v>
      </c>
      <c r="AX84" s="354"/>
      <c r="AY84" s="10"/>
      <c r="AZ84" s="66">
        <f t="shared" si="40"/>
        <v>453121</v>
      </c>
      <c r="BA84" s="67"/>
      <c r="BB84" s="67">
        <v>18603174</v>
      </c>
      <c r="BC84" s="67"/>
      <c r="BD84" s="67">
        <f t="shared" si="47"/>
        <v>21882</v>
      </c>
      <c r="BE84" s="67"/>
      <c r="BF84" s="157">
        <f t="shared" si="41"/>
        <v>4.8291736644295896E-2</v>
      </c>
      <c r="BG84" s="67"/>
      <c r="BH84" s="185"/>
      <c r="BI84" s="67"/>
      <c r="BJ84" s="67"/>
      <c r="BK84" s="67"/>
      <c r="BL84" s="157"/>
      <c r="BM84" s="66">
        <f t="shared" si="48"/>
        <v>248042.32</v>
      </c>
      <c r="BN84" s="67"/>
      <c r="BO84" s="67">
        <f t="shared" si="49"/>
        <v>1628883</v>
      </c>
      <c r="BP84" s="67"/>
      <c r="BQ84" s="74">
        <f t="shared" si="50"/>
        <v>8.7559413248513393E-2</v>
      </c>
      <c r="BR84" s="67"/>
      <c r="BS84" s="86"/>
      <c r="BT84" s="185"/>
      <c r="BU84" s="1"/>
      <c r="BV84">
        <f t="shared" si="52"/>
        <v>75</v>
      </c>
    </row>
    <row r="85" spans="2:74" x14ac:dyDescent="0.3">
      <c r="B85" s="173">
        <f t="shared" si="51"/>
        <v>43985</v>
      </c>
      <c r="C85" s="61"/>
      <c r="D85" s="17">
        <v>20578</v>
      </c>
      <c r="E85" s="16"/>
      <c r="F85" s="16"/>
      <c r="G85" s="16"/>
      <c r="H85" s="16">
        <f t="shared" si="35"/>
        <v>1918577</v>
      </c>
      <c r="I85" s="16"/>
      <c r="J85" s="38">
        <f t="shared" si="36"/>
        <v>1.0841944595334349E-2</v>
      </c>
      <c r="K85" s="16"/>
      <c r="L85" s="16"/>
      <c r="M85" s="16"/>
      <c r="N85" s="16">
        <f t="shared" si="42"/>
        <v>25244.434210526317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7"/>
        <v>109215</v>
      </c>
      <c r="AA85" s="33"/>
      <c r="AB85" s="46">
        <f t="shared" si="43"/>
        <v>5.6925002228213929E-2</v>
      </c>
      <c r="AC85" s="33"/>
      <c r="AD85" s="33">
        <f t="shared" si="44"/>
        <v>1437.0394736842106</v>
      </c>
      <c r="AE85" s="50"/>
      <c r="AF85" s="33"/>
      <c r="AG85" s="33"/>
      <c r="AH85" s="233"/>
      <c r="AI85" s="50"/>
      <c r="AJ85" s="10"/>
      <c r="AK85" s="23">
        <f t="shared" si="38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39"/>
        <v>6.6587576431522938E-2</v>
      </c>
      <c r="AR85" s="25"/>
      <c r="AS85" s="25"/>
      <c r="AT85" s="24"/>
      <c r="AU85" s="344">
        <f t="shared" si="45"/>
        <v>0.35894832472191629</v>
      </c>
      <c r="AV85" s="344"/>
      <c r="AW85" s="24">
        <f t="shared" si="46"/>
        <v>9061.4473684210534</v>
      </c>
      <c r="AX85" s="354"/>
      <c r="AY85" s="10"/>
      <c r="AZ85" s="66">
        <f t="shared" si="40"/>
        <v>493497</v>
      </c>
      <c r="BA85" s="67"/>
      <c r="BB85" s="67">
        <v>19096671</v>
      </c>
      <c r="BC85" s="67"/>
      <c r="BD85" s="67">
        <f t="shared" si="47"/>
        <v>20578</v>
      </c>
      <c r="BE85" s="67"/>
      <c r="BF85" s="157">
        <f t="shared" si="41"/>
        <v>4.1698328459950113E-2</v>
      </c>
      <c r="BG85" s="67"/>
      <c r="BH85" s="185"/>
      <c r="BI85" s="67"/>
      <c r="BJ85" s="67"/>
      <c r="BK85" s="67"/>
      <c r="BL85" s="157"/>
      <c r="BM85" s="66">
        <f t="shared" si="48"/>
        <v>251271.98684210525</v>
      </c>
      <c r="BN85" s="67"/>
      <c r="BO85" s="67">
        <f t="shared" si="49"/>
        <v>1649461</v>
      </c>
      <c r="BP85" s="67"/>
      <c r="BQ85" s="74">
        <f t="shared" si="50"/>
        <v>8.6374269106903503E-2</v>
      </c>
      <c r="BR85" s="67"/>
      <c r="BS85" s="86"/>
      <c r="BT85" s="185"/>
      <c r="BU85" s="1"/>
      <c r="BV85">
        <f t="shared" si="52"/>
        <v>76</v>
      </c>
    </row>
    <row r="86" spans="2:74" x14ac:dyDescent="0.3">
      <c r="B86" s="173">
        <f t="shared" si="51"/>
        <v>43986</v>
      </c>
      <c r="C86" s="61"/>
      <c r="D86" s="17">
        <v>22268</v>
      </c>
      <c r="E86" s="16"/>
      <c r="F86" s="16"/>
      <c r="G86" s="16"/>
      <c r="H86" s="16">
        <f t="shared" si="35"/>
        <v>1940845</v>
      </c>
      <c r="I86" s="16"/>
      <c r="J86" s="38">
        <f t="shared" si="36"/>
        <v>1.1606518789707164E-2</v>
      </c>
      <c r="K86" s="16"/>
      <c r="L86" s="16"/>
      <c r="M86" s="16"/>
      <c r="N86" s="16">
        <f t="shared" si="42"/>
        <v>25205.779220779219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7"/>
        <v>110246</v>
      </c>
      <c r="AA86" s="33"/>
      <c r="AB86" s="46">
        <f t="shared" si="43"/>
        <v>5.6803093497935178E-2</v>
      </c>
      <c r="AC86" s="33"/>
      <c r="AD86" s="33">
        <f t="shared" si="44"/>
        <v>1431.7662337662337</v>
      </c>
      <c r="AE86" s="50"/>
      <c r="AF86" s="33"/>
      <c r="AG86" s="33"/>
      <c r="AH86" s="233"/>
      <c r="AI86" s="50"/>
      <c r="AJ86" s="10"/>
      <c r="AK86" s="23">
        <f t="shared" si="38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39"/>
        <v>3.4242815862459523E-2</v>
      </c>
      <c r="AR86" s="25"/>
      <c r="AS86" s="25"/>
      <c r="AT86" s="24"/>
      <c r="AU86" s="344">
        <f t="shared" si="45"/>
        <v>0.36698036164660236</v>
      </c>
      <c r="AV86" s="344"/>
      <c r="AW86" s="24">
        <f t="shared" si="46"/>
        <v>9250.0259740259735</v>
      </c>
      <c r="AX86" s="354"/>
      <c r="AY86" s="10"/>
      <c r="AZ86" s="66">
        <f t="shared" si="40"/>
        <v>471398</v>
      </c>
      <c r="BA86" s="67"/>
      <c r="BB86" s="67">
        <v>19568069</v>
      </c>
      <c r="BC86" s="67"/>
      <c r="BD86" s="67">
        <f t="shared" si="47"/>
        <v>22268</v>
      </c>
      <c r="BE86" s="67"/>
      <c r="BF86" s="157">
        <f t="shared" si="41"/>
        <v>4.7238214841810955E-2</v>
      </c>
      <c r="BG86" s="67"/>
      <c r="BH86" s="185"/>
      <c r="BI86" s="67"/>
      <c r="BJ86" s="67"/>
      <c r="BK86" s="67"/>
      <c r="BL86" s="157"/>
      <c r="BM86" s="66">
        <f t="shared" si="48"/>
        <v>254130.76623376625</v>
      </c>
      <c r="BN86" s="67"/>
      <c r="BO86" s="67">
        <f t="shared" si="49"/>
        <v>1671729</v>
      </c>
      <c r="BP86" s="67"/>
      <c r="BQ86" s="74">
        <f t="shared" si="50"/>
        <v>8.5431475124091188E-2</v>
      </c>
      <c r="BR86" s="67"/>
      <c r="BS86" s="86"/>
      <c r="BT86" s="185"/>
      <c r="BU86" s="1"/>
      <c r="BV86">
        <f t="shared" si="52"/>
        <v>77</v>
      </c>
    </row>
    <row r="87" spans="2:74" x14ac:dyDescent="0.3">
      <c r="B87" s="173">
        <f t="shared" si="51"/>
        <v>43987</v>
      </c>
      <c r="C87" s="61"/>
      <c r="D87" s="17">
        <v>25393</v>
      </c>
      <c r="E87" s="16"/>
      <c r="F87" s="16"/>
      <c r="G87" s="16"/>
      <c r="H87" s="16">
        <f t="shared" si="35"/>
        <v>1966238</v>
      </c>
      <c r="I87" s="16"/>
      <c r="J87" s="38">
        <f t="shared" si="36"/>
        <v>1.3083476526976652E-2</v>
      </c>
      <c r="K87" s="16"/>
      <c r="L87" s="16"/>
      <c r="M87" s="16"/>
      <c r="N87" s="16">
        <f t="shared" si="42"/>
        <v>25208.179487179488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7"/>
        <v>111221</v>
      </c>
      <c r="AA87" s="33"/>
      <c r="AB87" s="46">
        <f t="shared" si="43"/>
        <v>5.6565380182866977E-2</v>
      </c>
      <c r="AC87" s="33"/>
      <c r="AD87" s="33">
        <f t="shared" si="44"/>
        <v>1425.9102564102564</v>
      </c>
      <c r="AE87" s="50"/>
      <c r="AF87" s="33"/>
      <c r="AG87" s="33"/>
      <c r="AH87" s="233"/>
      <c r="AI87" s="50"/>
      <c r="AJ87" s="10"/>
      <c r="AK87" s="23">
        <f t="shared" si="38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39"/>
        <v>3.7057109000746928E-2</v>
      </c>
      <c r="AR87" s="25"/>
      <c r="AS87" s="25"/>
      <c r="AT87" s="24"/>
      <c r="AU87" s="344">
        <f t="shared" si="45"/>
        <v>0.37566459401150826</v>
      </c>
      <c r="AV87" s="344"/>
      <c r="AW87" s="24">
        <f t="shared" si="46"/>
        <v>9469.8205128205136</v>
      </c>
      <c r="AX87" s="354"/>
      <c r="AY87" s="10"/>
      <c r="AZ87" s="66">
        <f t="shared" si="40"/>
        <v>699286</v>
      </c>
      <c r="BA87" s="67"/>
      <c r="BB87" s="67">
        <v>20267355</v>
      </c>
      <c r="BC87" s="67"/>
      <c r="BD87" s="67">
        <f t="shared" si="47"/>
        <v>25393</v>
      </c>
      <c r="BE87" s="67"/>
      <c r="BF87" s="157">
        <f t="shared" si="41"/>
        <v>3.631275329407424E-2</v>
      </c>
      <c r="BG87" s="67"/>
      <c r="BH87" s="185"/>
      <c r="BI87" s="67"/>
      <c r="BJ87" s="67"/>
      <c r="BK87" s="67"/>
      <c r="BL87" s="157"/>
      <c r="BM87" s="66">
        <f t="shared" si="48"/>
        <v>259837.88461538462</v>
      </c>
      <c r="BN87" s="67"/>
      <c r="BO87" s="67">
        <f t="shared" si="49"/>
        <v>1697122</v>
      </c>
      <c r="BP87" s="67"/>
      <c r="BQ87" s="74">
        <f t="shared" si="50"/>
        <v>8.3736728349604578E-2</v>
      </c>
      <c r="BR87" s="67"/>
      <c r="BS87" s="86"/>
      <c r="BT87" s="185"/>
      <c r="BU87" s="1"/>
      <c r="BV87">
        <f t="shared" si="52"/>
        <v>78</v>
      </c>
    </row>
    <row r="88" spans="2:74" x14ac:dyDescent="0.3">
      <c r="B88" s="478">
        <f t="shared" si="51"/>
        <v>43988</v>
      </c>
      <c r="C88" s="61"/>
      <c r="D88" s="17">
        <v>22836</v>
      </c>
      <c r="E88" s="16"/>
      <c r="F88" s="16"/>
      <c r="G88" s="16"/>
      <c r="H88" s="16">
        <f t="shared" si="35"/>
        <v>1989074</v>
      </c>
      <c r="I88" s="16"/>
      <c r="J88" s="38">
        <f t="shared" si="36"/>
        <v>1.1614056894434956E-2</v>
      </c>
      <c r="K88" s="16"/>
      <c r="L88" s="16"/>
      <c r="M88" s="16"/>
      <c r="N88" s="16">
        <f t="shared" si="42"/>
        <v>25178.151898734177</v>
      </c>
      <c r="O88" s="41"/>
      <c r="P88" s="17"/>
      <c r="Q88" s="16"/>
      <c r="R88" s="60"/>
      <c r="S88" s="16"/>
      <c r="T88" s="41"/>
      <c r="U88" s="480"/>
      <c r="V88" s="34">
        <v>706</v>
      </c>
      <c r="W88" s="33"/>
      <c r="X88" s="33"/>
      <c r="Y88" s="33"/>
      <c r="Z88" s="33">
        <f t="shared" si="37"/>
        <v>111927</v>
      </c>
      <c r="AA88" s="33"/>
      <c r="AB88" s="46">
        <f t="shared" si="43"/>
        <v>5.6270907970241431E-2</v>
      </c>
      <c r="AC88" s="33"/>
      <c r="AD88" s="33">
        <f t="shared" si="44"/>
        <v>1416.7974683544303</v>
      </c>
      <c r="AE88" s="50"/>
      <c r="AF88" s="33"/>
      <c r="AG88" s="33"/>
      <c r="AH88" s="233"/>
      <c r="AI88" s="50"/>
      <c r="AJ88" s="10"/>
      <c r="AK88" s="23">
        <f t="shared" si="38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39"/>
        <v>1.7666107986775804E-2</v>
      </c>
      <c r="AR88" s="25"/>
      <c r="AS88" s="25"/>
      <c r="AT88" s="24"/>
      <c r="AU88" s="344">
        <f t="shared" si="45"/>
        <v>0.37791203343867547</v>
      </c>
      <c r="AV88" s="344"/>
      <c r="AW88" s="24">
        <f t="shared" si="46"/>
        <v>9515.1265822784808</v>
      </c>
      <c r="AX88" s="354"/>
      <c r="AY88" s="10"/>
      <c r="AZ88" s="66">
        <f t="shared" si="40"/>
        <v>551073</v>
      </c>
      <c r="BA88" s="67"/>
      <c r="BB88" s="67">
        <v>20818428</v>
      </c>
      <c r="BC88" s="67"/>
      <c r="BD88" s="67">
        <f t="shared" si="47"/>
        <v>22836</v>
      </c>
      <c r="BE88" s="67"/>
      <c r="BF88" s="157">
        <f t="shared" si="41"/>
        <v>4.1439155973890938E-2</v>
      </c>
      <c r="BG88" s="67"/>
      <c r="BH88" s="185"/>
      <c r="BI88" s="67"/>
      <c r="BJ88" s="67"/>
      <c r="BK88" s="67"/>
      <c r="BL88" s="157"/>
      <c r="BM88" s="66">
        <f t="shared" si="48"/>
        <v>263524.40506329114</v>
      </c>
      <c r="BN88" s="67"/>
      <c r="BO88" s="67">
        <f t="shared" si="49"/>
        <v>1719958</v>
      </c>
      <c r="BP88" s="67"/>
      <c r="BQ88" s="74">
        <f t="shared" si="50"/>
        <v>8.2617092894814156E-2</v>
      </c>
      <c r="BR88" s="67"/>
      <c r="BS88" s="86"/>
      <c r="BT88" s="185"/>
      <c r="BU88" s="1"/>
      <c r="BV88">
        <f t="shared" si="52"/>
        <v>79</v>
      </c>
    </row>
    <row r="89" spans="2:74" x14ac:dyDescent="0.3">
      <c r="B89" s="393">
        <f t="shared" si="51"/>
        <v>43989</v>
      </c>
      <c r="C89" s="61"/>
      <c r="D89" s="17">
        <v>18375</v>
      </c>
      <c r="E89" s="16"/>
      <c r="F89" s="16"/>
      <c r="G89" s="16"/>
      <c r="H89" s="16">
        <f t="shared" si="35"/>
        <v>2007449</v>
      </c>
      <c r="I89" s="16"/>
      <c r="J89" s="38">
        <f t="shared" si="36"/>
        <v>9.23796701379637E-3</v>
      </c>
      <c r="K89" s="16"/>
      <c r="L89" s="16"/>
      <c r="M89" s="16"/>
      <c r="N89" s="16">
        <f t="shared" si="42"/>
        <v>25093.112499999999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4"/>
      <c r="V89" s="34">
        <v>542</v>
      </c>
      <c r="W89" s="33"/>
      <c r="X89" s="33"/>
      <c r="Y89" s="33"/>
      <c r="Z89" s="33">
        <f t="shared" si="37"/>
        <v>112469</v>
      </c>
      <c r="AA89" s="33"/>
      <c r="AB89" s="46">
        <f t="shared" si="43"/>
        <v>5.6025831789500005E-2</v>
      </c>
      <c r="AC89" s="33"/>
      <c r="AD89" s="33">
        <f t="shared" si="44"/>
        <v>1405.8625</v>
      </c>
      <c r="AE89" s="50"/>
      <c r="AF89" s="33">
        <f>SUM(V83:V89)</f>
        <v>6201</v>
      </c>
      <c r="AG89" s="33"/>
      <c r="AH89" s="233">
        <f>+(AF89-AF82)/AF82</f>
        <v>-0.10065264684554025</v>
      </c>
      <c r="AI89" s="50"/>
      <c r="AJ89" s="394"/>
      <c r="AK89" s="23">
        <f t="shared" si="38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39"/>
        <v>1.3320562196103473E-2</v>
      </c>
      <c r="AR89" s="25"/>
      <c r="AS89" s="25"/>
      <c r="AT89" s="24"/>
      <c r="AU89" s="344">
        <f t="shared" si="45"/>
        <v>0.37944077284155164</v>
      </c>
      <c r="AV89" s="344"/>
      <c r="AW89" s="24">
        <f t="shared" si="46"/>
        <v>9521.35</v>
      </c>
      <c r="AX89" s="354"/>
      <c r="AY89" s="394"/>
      <c r="AZ89" s="66">
        <f t="shared" si="40"/>
        <v>473249</v>
      </c>
      <c r="BA89" s="67"/>
      <c r="BB89" s="67">
        <v>21291677</v>
      </c>
      <c r="BC89" s="67"/>
      <c r="BD89" s="67">
        <f t="shared" si="47"/>
        <v>18375</v>
      </c>
      <c r="BE89" s="67"/>
      <c r="BF89" s="157">
        <f t="shared" si="41"/>
        <v>3.8827340364163472E-2</v>
      </c>
      <c r="BG89" s="67"/>
      <c r="BH89" s="185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8"/>
        <v>266145.96250000002</v>
      </c>
      <c r="BN89" s="67"/>
      <c r="BO89" s="67">
        <f t="shared" si="49"/>
        <v>1738333</v>
      </c>
      <c r="BP89" s="67"/>
      <c r="BQ89" s="74">
        <f t="shared" si="50"/>
        <v>8.1643780337265118E-2</v>
      </c>
      <c r="BR89" s="67"/>
      <c r="BS89" s="86"/>
      <c r="BT89" s="185"/>
      <c r="BU89" s="1"/>
      <c r="BV89">
        <f t="shared" si="52"/>
        <v>80</v>
      </c>
    </row>
    <row r="90" spans="2:74" x14ac:dyDescent="0.3">
      <c r="B90" s="173">
        <f t="shared" si="51"/>
        <v>43990</v>
      </c>
      <c r="C90" s="61"/>
      <c r="D90" s="17">
        <v>19044</v>
      </c>
      <c r="E90" s="16"/>
      <c r="F90" s="16"/>
      <c r="G90" s="16"/>
      <c r="H90" s="16">
        <f t="shared" si="35"/>
        <v>2026493</v>
      </c>
      <c r="I90" s="16"/>
      <c r="J90" s="38">
        <f t="shared" si="36"/>
        <v>9.486666909097068E-3</v>
      </c>
      <c r="K90" s="16"/>
      <c r="L90" s="16"/>
      <c r="M90" s="16"/>
      <c r="N90" s="16">
        <f t="shared" si="42"/>
        <v>25018.432098765432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7"/>
        <v>113055</v>
      </c>
      <c r="AA90" s="33"/>
      <c r="AB90" s="46">
        <f t="shared" si="43"/>
        <v>5.5788497665671677E-2</v>
      </c>
      <c r="AC90" s="33"/>
      <c r="AD90" s="33">
        <f t="shared" si="44"/>
        <v>1395.7407407407406</v>
      </c>
      <c r="AE90" s="50"/>
      <c r="AF90" s="33"/>
      <c r="AG90" s="33"/>
      <c r="AH90" s="233"/>
      <c r="AI90" s="50"/>
      <c r="AJ90" s="10"/>
      <c r="AK90" s="23">
        <f t="shared" si="38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39"/>
        <v>1.545474118691152E-2</v>
      </c>
      <c r="AR90" s="25"/>
      <c r="AS90" s="25"/>
      <c r="AT90" s="24"/>
      <c r="AU90" s="344">
        <f t="shared" si="45"/>
        <v>0.3816840225946993</v>
      </c>
      <c r="AV90" s="344"/>
      <c r="AW90" s="24">
        <f t="shared" si="46"/>
        <v>9549.1358024691363</v>
      </c>
      <c r="AX90" s="354"/>
      <c r="AY90" s="10"/>
      <c r="AZ90" s="66">
        <f t="shared" si="40"/>
        <v>433387</v>
      </c>
      <c r="BA90" s="67"/>
      <c r="BB90" s="67">
        <v>21725064</v>
      </c>
      <c r="BC90" s="67"/>
      <c r="BD90" s="67">
        <f t="shared" si="47"/>
        <v>19044</v>
      </c>
      <c r="BE90" s="67"/>
      <c r="BF90" s="157">
        <f t="shared" si="41"/>
        <v>4.3942250229010098E-2</v>
      </c>
      <c r="BG90" s="67"/>
      <c r="BH90" s="185"/>
      <c r="BI90" s="67"/>
      <c r="BJ90" s="67"/>
      <c r="BK90" s="67"/>
      <c r="BL90" s="157"/>
      <c r="BM90" s="66">
        <f t="shared" si="48"/>
        <v>268210.66666666669</v>
      </c>
      <c r="BN90" s="67"/>
      <c r="BO90" s="67">
        <f t="shared" si="49"/>
        <v>1757377</v>
      </c>
      <c r="BP90" s="67"/>
      <c r="BQ90" s="74">
        <f t="shared" si="50"/>
        <v>8.0891683449125854E-2</v>
      </c>
      <c r="BR90" s="67"/>
      <c r="BS90" s="86"/>
      <c r="BT90" s="185"/>
      <c r="BU90" s="1"/>
      <c r="BV90">
        <f t="shared" si="52"/>
        <v>81</v>
      </c>
    </row>
    <row r="91" spans="2:74" x14ac:dyDescent="0.3">
      <c r="B91" s="173">
        <f t="shared" si="51"/>
        <v>43991</v>
      </c>
      <c r="C91" s="61"/>
      <c r="D91" s="17">
        <v>19056</v>
      </c>
      <c r="E91" s="16"/>
      <c r="F91" s="16"/>
      <c r="G91" s="16"/>
      <c r="H91" s="16">
        <f t="shared" si="35"/>
        <v>2045549</v>
      </c>
      <c r="I91" s="16"/>
      <c r="J91" s="38">
        <f t="shared" si="36"/>
        <v>9.4034373669191068E-3</v>
      </c>
      <c r="K91" s="16"/>
      <c r="L91" s="16"/>
      <c r="M91" s="16"/>
      <c r="N91" s="16">
        <f t="shared" si="42"/>
        <v>24945.719512195123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7"/>
        <v>114148</v>
      </c>
      <c r="AA91" s="33"/>
      <c r="AB91" s="46">
        <f t="shared" si="43"/>
        <v>5.5803112025182483E-2</v>
      </c>
      <c r="AC91" s="33"/>
      <c r="AD91" s="33">
        <f t="shared" si="44"/>
        <v>1392.0487804878048</v>
      </c>
      <c r="AE91" s="50"/>
      <c r="AF91" s="33">
        <f>SUM(V85:V91)</f>
        <v>6016</v>
      </c>
      <c r="AG91" s="33"/>
      <c r="AH91" s="233"/>
      <c r="AI91" s="50"/>
      <c r="AJ91" s="10"/>
      <c r="AK91" s="23">
        <f t="shared" si="38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39"/>
        <v>1.988674561721053E-2</v>
      </c>
      <c r="AR91" s="25"/>
      <c r="AS91" s="25"/>
      <c r="AT91" s="24"/>
      <c r="AU91" s="344">
        <f t="shared" si="45"/>
        <v>0.38564805829633025</v>
      </c>
      <c r="AV91" s="344"/>
      <c r="AW91" s="24">
        <f t="shared" si="46"/>
        <v>9620.2682926829275</v>
      </c>
      <c r="AX91" s="354"/>
      <c r="AY91" s="10"/>
      <c r="AZ91" s="66">
        <f t="shared" si="40"/>
        <v>415612</v>
      </c>
      <c r="BA91" s="67"/>
      <c r="BB91" s="67">
        <v>22140676</v>
      </c>
      <c r="BC91" s="67"/>
      <c r="BD91" s="67">
        <f t="shared" si="47"/>
        <v>19056</v>
      </c>
      <c r="BE91" s="67"/>
      <c r="BF91" s="157">
        <f t="shared" si="41"/>
        <v>4.5850456675938137E-2</v>
      </c>
      <c r="BG91" s="67"/>
      <c r="BH91" s="185"/>
      <c r="BI91" s="67"/>
      <c r="BJ91" s="67">
        <f>SUM(AZ85:AZ91)</f>
        <v>3537502</v>
      </c>
      <c r="BK91" s="67"/>
      <c r="BL91" s="157"/>
      <c r="BM91" s="66">
        <f t="shared" si="48"/>
        <v>270008.24390243902</v>
      </c>
      <c r="BN91" s="67"/>
      <c r="BO91" s="67">
        <f t="shared" si="49"/>
        <v>1776433</v>
      </c>
      <c r="BP91" s="67"/>
      <c r="BQ91" s="74">
        <f t="shared" si="50"/>
        <v>8.0233909750542398E-2</v>
      </c>
      <c r="BR91" s="67"/>
      <c r="BS91" s="86"/>
      <c r="BT91" s="185"/>
      <c r="BU91" s="1"/>
      <c r="BV91">
        <f t="shared" si="52"/>
        <v>82</v>
      </c>
    </row>
    <row r="92" spans="2:74" x14ac:dyDescent="0.3">
      <c r="B92" s="173">
        <f t="shared" si="51"/>
        <v>43992</v>
      </c>
      <c r="C92" s="61"/>
      <c r="D92" s="17">
        <v>20852</v>
      </c>
      <c r="E92" s="16"/>
      <c r="F92" s="16"/>
      <c r="G92" s="16"/>
      <c r="H92" s="16">
        <f t="shared" si="35"/>
        <v>2066401</v>
      </c>
      <c r="I92" s="16"/>
      <c r="J92" s="38">
        <f t="shared" si="36"/>
        <v>1.019384038221524E-2</v>
      </c>
      <c r="K92" s="16"/>
      <c r="L92" s="16"/>
      <c r="M92" s="16"/>
      <c r="N92" s="16">
        <f t="shared" si="42"/>
        <v>24896.397590361445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7"/>
        <v>115130</v>
      </c>
      <c r="AA92" s="33"/>
      <c r="AB92" s="46">
        <f t="shared" si="43"/>
        <v>5.5715226618647591E-2</v>
      </c>
      <c r="AC92" s="33"/>
      <c r="AD92" s="33">
        <f t="shared" si="44"/>
        <v>1387.1084337349398</v>
      </c>
      <c r="AE92" s="50"/>
      <c r="AF92" s="33"/>
      <c r="AG92" s="33"/>
      <c r="AH92" s="233"/>
      <c r="AI92" s="50"/>
      <c r="AJ92" s="10"/>
      <c r="AK92" s="23">
        <f t="shared" si="38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39"/>
        <v>2.4886482046289467E-2</v>
      </c>
      <c r="AR92" s="25"/>
      <c r="AS92" s="25"/>
      <c r="AT92" s="24"/>
      <c r="AU92" s="344">
        <f t="shared" si="45"/>
        <v>0.39125706965879326</v>
      </c>
      <c r="AV92" s="344"/>
      <c r="AW92" s="24">
        <f t="shared" si="46"/>
        <v>9740.8915662650597</v>
      </c>
      <c r="AX92" s="354"/>
      <c r="AY92" s="10"/>
      <c r="AZ92" s="66">
        <f t="shared" si="40"/>
        <v>485082</v>
      </c>
      <c r="BA92" s="67"/>
      <c r="BB92" s="67">
        <v>22625758</v>
      </c>
      <c r="BC92" s="67"/>
      <c r="BD92" s="67">
        <f t="shared" si="47"/>
        <v>20852</v>
      </c>
      <c r="BE92" s="67"/>
      <c r="BF92" s="157">
        <f t="shared" si="41"/>
        <v>4.298654660449161E-2</v>
      </c>
      <c r="BG92" s="67"/>
      <c r="BH92" s="185"/>
      <c r="BI92" s="67"/>
      <c r="BJ92" s="67"/>
      <c r="BK92" s="67"/>
      <c r="BL92" s="157"/>
      <c r="BM92" s="66">
        <f t="shared" si="48"/>
        <v>272599.49397590361</v>
      </c>
      <c r="BN92" s="67"/>
      <c r="BO92" s="67">
        <f t="shared" si="49"/>
        <v>1797285</v>
      </c>
      <c r="BP92" s="67"/>
      <c r="BQ92" s="74">
        <f t="shared" si="50"/>
        <v>7.9435349746072595E-2</v>
      </c>
      <c r="BR92" s="67"/>
      <c r="BS92" s="86"/>
      <c r="BT92" s="185"/>
      <c r="BU92" s="1"/>
      <c r="BV92">
        <f t="shared" si="52"/>
        <v>83</v>
      </c>
    </row>
    <row r="93" spans="2:74" x14ac:dyDescent="0.3">
      <c r="B93" s="173">
        <f t="shared" si="51"/>
        <v>43993</v>
      </c>
      <c r="C93" s="61"/>
      <c r="D93" s="17">
        <v>23300</v>
      </c>
      <c r="E93" s="16"/>
      <c r="F93" s="16"/>
      <c r="G93" s="16"/>
      <c r="H93" s="16">
        <f t="shared" si="35"/>
        <v>2089701</v>
      </c>
      <c r="I93" s="16"/>
      <c r="J93" s="38">
        <f t="shared" si="36"/>
        <v>1.127564301411004E-2</v>
      </c>
      <c r="K93" s="16"/>
      <c r="L93" s="16"/>
      <c r="M93" s="16"/>
      <c r="N93" s="16">
        <f t="shared" si="42"/>
        <v>24877.392857142859</v>
      </c>
      <c r="O93" s="41"/>
      <c r="P93" s="17"/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7"/>
        <v>116034</v>
      </c>
      <c r="AA93" s="33"/>
      <c r="AB93" s="46">
        <f t="shared" si="43"/>
        <v>5.552660404526772E-2</v>
      </c>
      <c r="AC93" s="33"/>
      <c r="AD93" s="33">
        <f t="shared" si="44"/>
        <v>1381.3571428571429</v>
      </c>
      <c r="AE93" s="50"/>
      <c r="AF93" s="33"/>
      <c r="AG93" s="33"/>
      <c r="AH93" s="233"/>
      <c r="AI93" s="50"/>
      <c r="AJ93" s="10"/>
      <c r="AK93" s="23">
        <f t="shared" si="38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39"/>
        <v>6.5937409554059773E-3</v>
      </c>
      <c r="AR93" s="25"/>
      <c r="AS93" s="25"/>
      <c r="AT93" s="24"/>
      <c r="AU93" s="344">
        <f t="shared" si="45"/>
        <v>0.38944566710739958</v>
      </c>
      <c r="AV93" s="344"/>
      <c r="AW93" s="24">
        <f t="shared" si="46"/>
        <v>9688.3928571428569</v>
      </c>
      <c r="AX93" s="354"/>
      <c r="AY93" s="10"/>
      <c r="AZ93" s="66">
        <f t="shared" si="40"/>
        <v>447712</v>
      </c>
      <c r="BA93" s="67"/>
      <c r="BB93" s="67">
        <v>23073470</v>
      </c>
      <c r="BC93" s="67"/>
      <c r="BD93" s="67">
        <f t="shared" si="47"/>
        <v>23300</v>
      </c>
      <c r="BE93" s="67"/>
      <c r="BF93" s="157">
        <f t="shared" si="41"/>
        <v>5.2042384389964974E-2</v>
      </c>
      <c r="BG93" s="67"/>
      <c r="BH93" s="185"/>
      <c r="BI93" s="67"/>
      <c r="BJ93" s="67"/>
      <c r="BK93" s="67"/>
      <c r="BL93" s="157"/>
      <c r="BM93" s="66">
        <f t="shared" si="48"/>
        <v>274684.16666666669</v>
      </c>
      <c r="BN93" s="67"/>
      <c r="BO93" s="67">
        <f t="shared" si="49"/>
        <v>1820585</v>
      </c>
      <c r="BP93" s="67"/>
      <c r="BQ93" s="74">
        <f t="shared" si="50"/>
        <v>7.8903823308761098E-2</v>
      </c>
      <c r="BR93" s="67"/>
      <c r="BS93" s="86"/>
      <c r="BT93" s="185"/>
      <c r="BU93" s="1"/>
      <c r="BV93">
        <f t="shared" si="52"/>
        <v>84</v>
      </c>
    </row>
    <row r="94" spans="2:74" x14ac:dyDescent="0.3">
      <c r="B94" s="173">
        <f t="shared" si="51"/>
        <v>43994</v>
      </c>
      <c r="C94" s="61"/>
      <c r="D94" s="17">
        <v>27221</v>
      </c>
      <c r="E94" s="16"/>
      <c r="F94" s="16"/>
      <c r="G94" s="16"/>
      <c r="H94" s="16">
        <f t="shared" si="35"/>
        <v>2116922</v>
      </c>
      <c r="I94" s="16"/>
      <c r="J94" s="38">
        <f t="shared" si="36"/>
        <v>1.3026265480085428E-2</v>
      </c>
      <c r="K94" s="16"/>
      <c r="L94" s="16"/>
      <c r="M94" s="16"/>
      <c r="N94" s="16">
        <f t="shared" si="42"/>
        <v>24904.964705882354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7"/>
        <v>116825</v>
      </c>
      <c r="AA94" s="33"/>
      <c r="AB94" s="46">
        <f t="shared" si="43"/>
        <v>5.5186256272078044E-2</v>
      </c>
      <c r="AC94" s="33"/>
      <c r="AD94" s="33">
        <f t="shared" si="44"/>
        <v>1374.4117647058824</v>
      </c>
      <c r="AE94" s="50"/>
      <c r="AF94" s="33"/>
      <c r="AG94" s="33"/>
      <c r="AH94" s="233"/>
      <c r="AI94" s="50"/>
      <c r="AJ94" s="10"/>
      <c r="AK94" s="23">
        <f t="shared" si="38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39"/>
        <v>3.4539366571437351E-2</v>
      </c>
      <c r="AR94" s="25"/>
      <c r="AS94" s="25"/>
      <c r="AT94" s="24"/>
      <c r="AU94" s="344">
        <f t="shared" si="45"/>
        <v>0.39771611802418794</v>
      </c>
      <c r="AV94" s="344"/>
      <c r="AW94" s="24">
        <f t="shared" si="46"/>
        <v>9905.105882352942</v>
      </c>
      <c r="AX94" s="354"/>
      <c r="AY94" s="10"/>
      <c r="AZ94" s="66">
        <f t="shared" si="40"/>
        <v>718721</v>
      </c>
      <c r="BA94" s="67"/>
      <c r="BB94" s="67">
        <v>23792191</v>
      </c>
      <c r="BC94" s="67"/>
      <c r="BD94" s="67">
        <f t="shared" si="47"/>
        <v>27221</v>
      </c>
      <c r="BE94" s="67"/>
      <c r="BF94" s="157">
        <f t="shared" si="41"/>
        <v>3.7874223794768763E-2</v>
      </c>
      <c r="BG94" s="67"/>
      <c r="BH94" s="185"/>
      <c r="BI94" s="67"/>
      <c r="BJ94" s="67"/>
      <c r="BK94" s="67"/>
      <c r="BL94" s="157"/>
      <c r="BM94" s="66">
        <f t="shared" si="48"/>
        <v>279908.12941176473</v>
      </c>
      <c r="BN94" s="67"/>
      <c r="BO94" s="67">
        <f t="shared" si="49"/>
        <v>1847806</v>
      </c>
      <c r="BP94" s="67"/>
      <c r="BQ94" s="74">
        <f t="shared" si="50"/>
        <v>7.7664389967279604E-2</v>
      </c>
      <c r="BR94" s="67"/>
      <c r="BS94" s="86"/>
      <c r="BT94" s="185"/>
      <c r="BU94" s="1"/>
      <c r="BV94">
        <f t="shared" si="52"/>
        <v>85</v>
      </c>
    </row>
    <row r="95" spans="2:74" x14ac:dyDescent="0.3">
      <c r="B95" s="478">
        <f t="shared" si="51"/>
        <v>43995</v>
      </c>
      <c r="C95" s="61"/>
      <c r="D95" s="17">
        <v>25302</v>
      </c>
      <c r="E95" s="16"/>
      <c r="F95" s="16"/>
      <c r="G95" s="16"/>
      <c r="H95" s="16">
        <f t="shared" si="35"/>
        <v>2142224</v>
      </c>
      <c r="I95" s="16"/>
      <c r="J95" s="38">
        <f t="shared" si="36"/>
        <v>1.1952258987341055E-2</v>
      </c>
      <c r="K95" s="16"/>
      <c r="L95" s="16"/>
      <c r="M95" s="16"/>
      <c r="N95" s="16">
        <f t="shared" si="42"/>
        <v>24909.581395348836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7"/>
        <v>117527</v>
      </c>
      <c r="AA95" s="33"/>
      <c r="AB95" s="46">
        <f t="shared" si="43"/>
        <v>5.4862143267930895E-2</v>
      </c>
      <c r="AC95" s="33"/>
      <c r="AD95" s="33">
        <f t="shared" si="44"/>
        <v>1366.5930232558139</v>
      </c>
      <c r="AE95" s="50"/>
      <c r="AF95" s="33"/>
      <c r="AG95" s="33"/>
      <c r="AH95" s="233"/>
      <c r="AI95" s="50"/>
      <c r="AJ95" s="10"/>
      <c r="AK95" s="23">
        <f t="shared" si="38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39"/>
        <v>2.1353217710651903E-2</v>
      </c>
      <c r="AR95" s="25"/>
      <c r="AS95" s="25"/>
      <c r="AT95" s="24"/>
      <c r="AU95" s="344">
        <f t="shared" si="45"/>
        <v>0.40141087019844796</v>
      </c>
      <c r="AV95" s="344"/>
      <c r="AW95" s="24">
        <f t="shared" si="46"/>
        <v>9998.9767441860458</v>
      </c>
      <c r="AX95" s="354"/>
      <c r="AY95" s="10"/>
      <c r="AZ95" s="66">
        <f t="shared" si="40"/>
        <v>500980</v>
      </c>
      <c r="BA95" s="67"/>
      <c r="BB95" s="67">
        <v>24293171</v>
      </c>
      <c r="BC95" s="67"/>
      <c r="BD95" s="67">
        <f t="shared" si="47"/>
        <v>25302</v>
      </c>
      <c r="BE95" s="67"/>
      <c r="BF95" s="157">
        <f t="shared" si="41"/>
        <v>5.0505010180047105E-2</v>
      </c>
      <c r="BG95" s="67"/>
      <c r="BH95" s="185"/>
      <c r="BI95" s="67"/>
      <c r="BJ95" s="67"/>
      <c r="BK95" s="67"/>
      <c r="BL95" s="157"/>
      <c r="BM95" s="66">
        <f t="shared" si="48"/>
        <v>282478.73255813954</v>
      </c>
      <c r="BN95" s="67"/>
      <c r="BO95" s="67">
        <f t="shared" si="49"/>
        <v>1873108</v>
      </c>
      <c r="BP95" s="67"/>
      <c r="BQ95" s="74">
        <f t="shared" si="50"/>
        <v>7.7104302274906805E-2</v>
      </c>
      <c r="BR95" s="67"/>
      <c r="BS95" s="86"/>
      <c r="BT95" s="185"/>
      <c r="BU95" s="1"/>
      <c r="BV95">
        <f t="shared" si="52"/>
        <v>86</v>
      </c>
    </row>
    <row r="96" spans="2:74" x14ac:dyDescent="0.3">
      <c r="B96" s="393">
        <f t="shared" si="51"/>
        <v>43996</v>
      </c>
      <c r="C96" s="61"/>
      <c r="D96" s="17">
        <v>20004</v>
      </c>
      <c r="E96" s="16"/>
      <c r="F96" s="16"/>
      <c r="G96" s="16"/>
      <c r="H96" s="16">
        <f t="shared" si="35"/>
        <v>2162228</v>
      </c>
      <c r="I96" s="16"/>
      <c r="J96" s="38">
        <f t="shared" si="36"/>
        <v>9.3379590556356383E-3</v>
      </c>
      <c r="K96" s="16"/>
      <c r="L96" s="16"/>
      <c r="M96" s="16"/>
      <c r="N96" s="16">
        <f t="shared" si="42"/>
        <v>24853.19540229885</v>
      </c>
      <c r="O96" s="41"/>
      <c r="P96" s="17">
        <f>SUM(D90:D96)</f>
        <v>154779</v>
      </c>
      <c r="Q96" s="16"/>
      <c r="R96" s="60">
        <f>+(P96-P89)/P89</f>
        <v>8.4307912825357535E-3</v>
      </c>
      <c r="S96" s="16"/>
      <c r="T96" s="41"/>
      <c r="U96" s="394"/>
      <c r="V96" s="34">
        <v>331</v>
      </c>
      <c r="W96" s="33"/>
      <c r="X96" s="33"/>
      <c r="Y96" s="33"/>
      <c r="Z96" s="33">
        <f t="shared" si="37"/>
        <v>117858</v>
      </c>
      <c r="AA96" s="33"/>
      <c r="AB96" s="46">
        <f t="shared" si="43"/>
        <v>5.4507665241593395E-2</v>
      </c>
      <c r="AC96" s="33"/>
      <c r="AD96" s="33">
        <f t="shared" si="44"/>
        <v>1354.6896551724137</v>
      </c>
      <c r="AE96" s="50"/>
      <c r="AF96" s="33">
        <f>SUM(V90:V96)</f>
        <v>5389</v>
      </c>
      <c r="AG96" s="33"/>
      <c r="AH96" s="233">
        <f>+(AF96-AF89)/AF89</f>
        <v>-0.13094662151265926</v>
      </c>
      <c r="AI96" s="50"/>
      <c r="AJ96" s="394"/>
      <c r="AK96" s="23">
        <f t="shared" si="38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39"/>
        <v>9.2300142340146427E-3</v>
      </c>
      <c r="AR96" s="25"/>
      <c r="AS96" s="25"/>
      <c r="AT96" s="24"/>
      <c r="AU96" s="344">
        <f t="shared" si="45"/>
        <v>0.40136794084620125</v>
      </c>
      <c r="AV96" s="344"/>
      <c r="AW96" s="24">
        <f t="shared" si="46"/>
        <v>9975.2758620689656</v>
      </c>
      <c r="AX96" s="354"/>
      <c r="AY96" s="394"/>
      <c r="AZ96" s="66">
        <f t="shared" si="40"/>
        <v>497760</v>
      </c>
      <c r="BA96" s="67"/>
      <c r="BB96" s="67">
        <v>24790931</v>
      </c>
      <c r="BC96" s="67"/>
      <c r="BD96" s="67">
        <f t="shared" si="47"/>
        <v>20004</v>
      </c>
      <c r="BE96" s="67"/>
      <c r="BF96" s="157">
        <f t="shared" si="41"/>
        <v>4.0188042430086786E-2</v>
      </c>
      <c r="BG96" s="67"/>
      <c r="BH96" s="185"/>
      <c r="BI96" s="67"/>
      <c r="BJ96" s="67">
        <f>SUM(AZ90:AZ96)</f>
        <v>3499254</v>
      </c>
      <c r="BK96" s="67"/>
      <c r="BL96" s="157">
        <f>+P96/BJ96</f>
        <v>4.4231999163250227E-2</v>
      </c>
      <c r="BM96" s="66">
        <f t="shared" si="48"/>
        <v>284953.22988505749</v>
      </c>
      <c r="BN96" s="67"/>
      <c r="BO96" s="67">
        <f t="shared" si="49"/>
        <v>1893112</v>
      </c>
      <c r="BP96" s="67"/>
      <c r="BQ96" s="613">
        <f t="shared" si="50"/>
        <v>7.636308616243577E-2</v>
      </c>
      <c r="BR96" s="67"/>
      <c r="BS96" s="86"/>
      <c r="BT96" s="185"/>
      <c r="BU96" s="1"/>
      <c r="BV96">
        <f t="shared" si="52"/>
        <v>87</v>
      </c>
    </row>
    <row r="97" spans="2:84" x14ac:dyDescent="0.3">
      <c r="B97" s="173">
        <f t="shared" si="51"/>
        <v>43997</v>
      </c>
      <c r="C97" s="61"/>
      <c r="D97" s="17">
        <v>20722</v>
      </c>
      <c r="E97" s="16"/>
      <c r="F97" s="16"/>
      <c r="G97" s="16"/>
      <c r="H97" s="16">
        <f t="shared" ref="H97" si="53">+H96+D97</f>
        <v>2182950</v>
      </c>
      <c r="I97" s="16"/>
      <c r="J97" s="38">
        <f t="shared" ref="J97" si="54">+D97/H96</f>
        <v>9.5836331783697194E-3</v>
      </c>
      <c r="K97" s="16"/>
      <c r="L97" s="16"/>
      <c r="M97" s="16"/>
      <c r="N97" s="16">
        <f t="shared" ref="N97" si="55">+H97/BV97</f>
        <v>24806.25</v>
      </c>
      <c r="O97" s="41"/>
      <c r="P97" s="17">
        <f>SUM(D91:D97)</f>
        <v>156457</v>
      </c>
      <c r="Q97" s="16"/>
      <c r="R97" s="60" t="e">
        <f>+(P97-P90)/P90</f>
        <v>#DIV/0!</v>
      </c>
      <c r="S97" s="16"/>
      <c r="T97" s="41"/>
      <c r="U97" s="10"/>
      <c r="V97" s="34">
        <v>425</v>
      </c>
      <c r="W97" s="33"/>
      <c r="X97" s="33"/>
      <c r="Y97" s="33"/>
      <c r="Z97" s="33">
        <f t="shared" ref="Z97" si="56">+Z96+V97</f>
        <v>118283</v>
      </c>
      <c r="AA97" s="33"/>
      <c r="AB97" s="46">
        <f t="shared" ref="AB97" si="57">+Z97/H97</f>
        <v>5.4184933232552281E-2</v>
      </c>
      <c r="AC97" s="33"/>
      <c r="AD97" s="33">
        <f t="shared" ref="AD97" si="58">+Z97/BV97</f>
        <v>1344.125</v>
      </c>
      <c r="AE97" s="50"/>
      <c r="AF97" s="33">
        <f>SUM(V91:V97)</f>
        <v>5228</v>
      </c>
      <c r="AG97" s="33"/>
      <c r="AH97" s="233" t="e">
        <f>+(AF97-AF90)/AF90</f>
        <v>#DIV/0!</v>
      </c>
      <c r="AI97" s="50"/>
      <c r="AJ97" s="10"/>
      <c r="AK97" s="23">
        <f t="shared" ref="AK97" si="59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" si="60">+AK97/AO96</f>
        <v>2.5369620751997179E-2</v>
      </c>
      <c r="AR97" s="25"/>
      <c r="AS97" s="25"/>
      <c r="AT97" s="24"/>
      <c r="AU97" s="344">
        <f t="shared" ref="AU97" si="61">+AO97/H97</f>
        <v>0.40764378478664193</v>
      </c>
      <c r="AV97" s="344"/>
      <c r="AW97" s="24">
        <f t="shared" ref="AW97" si="62">+AO97/BV97</f>
        <v>10112.113636363636</v>
      </c>
      <c r="AX97" s="354"/>
      <c r="AY97" s="10"/>
      <c r="AZ97" s="66">
        <f t="shared" ref="AZ97" si="63">+BB97-BB96</f>
        <v>468146</v>
      </c>
      <c r="BA97" s="67"/>
      <c r="BB97" s="67">
        <v>25259077</v>
      </c>
      <c r="BC97" s="67"/>
      <c r="BD97" s="67">
        <f t="shared" ref="BD97" si="64">+D97</f>
        <v>20722</v>
      </c>
      <c r="BE97" s="67"/>
      <c r="BF97" s="157">
        <f t="shared" ref="BF97" si="65">+BD97/AZ97</f>
        <v>4.4263968932768835E-2</v>
      </c>
      <c r="BG97" s="67"/>
      <c r="BH97" s="185"/>
      <c r="BI97" s="67"/>
      <c r="BJ97" s="67">
        <f>SUM(AZ91:AZ97)</f>
        <v>3534013</v>
      </c>
      <c r="BK97" s="67"/>
      <c r="BL97" s="157">
        <f>+P97/BJ97</f>
        <v>4.4271766968599156E-2</v>
      </c>
      <c r="BM97" s="66">
        <f t="shared" ref="BM97" si="66">+BB97/BV97</f>
        <v>287034.96590909088</v>
      </c>
      <c r="BN97" s="67"/>
      <c r="BO97" s="67">
        <f t="shared" ref="BO97" si="67">+BO96+BD97</f>
        <v>1913834</v>
      </c>
      <c r="BP97" s="67"/>
      <c r="BQ97" s="613">
        <f t="shared" ref="BQ97" si="68">+BO97/BB97</f>
        <v>7.5768168409320741E-2</v>
      </c>
      <c r="BR97" s="67"/>
      <c r="BS97" s="86"/>
      <c r="BT97" s="185"/>
      <c r="BU97" s="1"/>
      <c r="BV97">
        <f t="shared" si="52"/>
        <v>88</v>
      </c>
    </row>
    <row r="98" spans="2:84" x14ac:dyDescent="0.3">
      <c r="B98" s="173">
        <f t="shared" si="51"/>
        <v>43998</v>
      </c>
      <c r="C98" s="61"/>
      <c r="D98" s="17">
        <v>25294</v>
      </c>
      <c r="E98" s="16"/>
      <c r="F98" s="16"/>
      <c r="G98" s="16"/>
      <c r="H98" s="16">
        <f t="shared" ref="H98" si="69">+H97+D98</f>
        <v>2208244</v>
      </c>
      <c r="I98" s="16"/>
      <c r="J98" s="38">
        <f t="shared" ref="J98" si="70">+D98/H97</f>
        <v>1.1587072539453493E-2</v>
      </c>
      <c r="K98" s="16"/>
      <c r="L98" s="16"/>
      <c r="M98" s="16"/>
      <c r="N98" s="16">
        <f t="shared" ref="N98" si="71">+H98/BV98</f>
        <v>24811.73033707865</v>
      </c>
      <c r="O98" s="41"/>
      <c r="P98" s="17">
        <f>SUM(D92:D98)</f>
        <v>162695</v>
      </c>
      <c r="Q98" s="16"/>
      <c r="R98" s="60" t="e">
        <f>+(P98-P91)/P91</f>
        <v>#DIV/0!</v>
      </c>
      <c r="S98" s="16"/>
      <c r="T98" s="41"/>
      <c r="U98" s="10"/>
      <c r="V98" s="34">
        <v>846</v>
      </c>
      <c r="W98" s="33"/>
      <c r="X98" s="33"/>
      <c r="Y98" s="33"/>
      <c r="Z98" s="33">
        <f t="shared" ref="Z98" si="72">+Z97+V98</f>
        <v>119129</v>
      </c>
      <c r="AA98" s="33"/>
      <c r="AB98" s="46">
        <f t="shared" ref="AB98" si="73">+Z98/H98</f>
        <v>5.3947389871771417E-2</v>
      </c>
      <c r="AC98" s="33"/>
      <c r="AD98" s="33">
        <f t="shared" ref="AD98" si="74">+Z98/BV98</f>
        <v>1338.5280898876404</v>
      </c>
      <c r="AE98" s="50"/>
      <c r="AF98" s="33">
        <f>SUM(V92:V98)</f>
        <v>4981</v>
      </c>
      <c r="AG98" s="33"/>
      <c r="AH98" s="233">
        <f>+(AF98-AF91)/AF91</f>
        <v>-0.17204122340425532</v>
      </c>
      <c r="AI98" s="50"/>
      <c r="AJ98" s="10"/>
      <c r="AK98" s="23">
        <f t="shared" ref="AK98" si="75">+AO98-AO97</f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ref="AQ98" si="76">+AK98/AO97</f>
        <v>1.4805599944261271E-2</v>
      </c>
      <c r="AR98" s="25"/>
      <c r="AS98" s="25"/>
      <c r="AT98" s="24"/>
      <c r="AU98" s="344">
        <f t="shared" ref="AU98" si="77">+AO98/H98</f>
        <v>0.40894076922658912</v>
      </c>
      <c r="AV98" s="344"/>
      <c r="AW98" s="24">
        <f t="shared" ref="AW98" si="78">+AO98/BV98</f>
        <v>10146.528089887641</v>
      </c>
      <c r="AX98" s="354"/>
      <c r="AY98" s="10"/>
      <c r="AZ98" s="66">
        <f t="shared" ref="AZ98" si="79">+BB98-BB97</f>
        <v>470291</v>
      </c>
      <c r="BA98" s="67"/>
      <c r="BB98" s="67">
        <v>25729368</v>
      </c>
      <c r="BC98" s="67"/>
      <c r="BD98" s="67">
        <f t="shared" ref="BD98" si="80">+D98</f>
        <v>25294</v>
      </c>
      <c r="BE98" s="67"/>
      <c r="BF98" s="157">
        <f t="shared" ref="BF98" si="81">+BD98/AZ98</f>
        <v>5.3783721142866864E-2</v>
      </c>
      <c r="BG98" s="67"/>
      <c r="BH98" s="185"/>
      <c r="BI98" s="67"/>
      <c r="BJ98" s="67">
        <f>SUM(AZ92:AZ98)</f>
        <v>3588692</v>
      </c>
      <c r="BK98" s="67"/>
      <c r="BL98" s="157">
        <f>+P98/BJ98</f>
        <v>4.5335459270397123E-2</v>
      </c>
      <c r="BM98" s="66">
        <f t="shared" ref="BM98" si="82">+BB98/BV98</f>
        <v>289094.02247191011</v>
      </c>
      <c r="BN98" s="67"/>
      <c r="BO98" s="67">
        <f t="shared" ref="BO98" si="83">+BO97+BD98</f>
        <v>1939128</v>
      </c>
      <c r="BP98" s="67"/>
      <c r="BQ98" s="613">
        <f t="shared" ref="BQ98" si="84">+BO98/BB98</f>
        <v>7.5366328469475038E-2</v>
      </c>
      <c r="BR98" s="67"/>
      <c r="BS98" s="86"/>
      <c r="BT98" s="185"/>
      <c r="BU98" s="1"/>
      <c r="BV98">
        <f t="shared" si="52"/>
        <v>89</v>
      </c>
    </row>
    <row r="99" spans="2:84" x14ac:dyDescent="0.3">
      <c r="B99" s="173">
        <f t="shared" si="51"/>
        <v>43999</v>
      </c>
      <c r="C99" s="61"/>
      <c r="D99" s="17"/>
      <c r="E99" s="16"/>
      <c r="F99" s="16"/>
      <c r="G99" s="16"/>
      <c r="H99" s="16"/>
      <c r="I99" s="16"/>
      <c r="J99" s="481"/>
      <c r="K99" s="16"/>
      <c r="L99" s="16"/>
      <c r="M99" s="16"/>
      <c r="N99" s="16"/>
      <c r="O99" s="41"/>
      <c r="P99" s="17"/>
      <c r="Q99" s="16"/>
      <c r="R99" s="60"/>
      <c r="S99" s="16"/>
      <c r="T99" s="41"/>
      <c r="U99" s="10"/>
      <c r="V99" s="34"/>
      <c r="W99" s="33"/>
      <c r="X99" s="33"/>
      <c r="Y99" s="33"/>
      <c r="Z99" s="33"/>
      <c r="AA99" s="33"/>
      <c r="AB99" s="46"/>
      <c r="AC99" s="33"/>
      <c r="AD99" s="33"/>
      <c r="AE99" s="50"/>
      <c r="AF99" s="33"/>
      <c r="AG99" s="33"/>
      <c r="AH99" s="233"/>
      <c r="AI99" s="50"/>
      <c r="AJ99" s="10"/>
      <c r="AK99" s="23"/>
      <c r="AL99" s="24"/>
      <c r="AM99" s="24"/>
      <c r="AN99" s="24"/>
      <c r="AO99" s="24"/>
      <c r="AP99" s="24"/>
      <c r="AQ99" s="25"/>
      <c r="AR99" s="25"/>
      <c r="AS99" s="25"/>
      <c r="AT99" s="24"/>
      <c r="AU99" s="344"/>
      <c r="AV99" s="344"/>
      <c r="AW99" s="24"/>
      <c r="AX99" s="354"/>
      <c r="AY99" s="10"/>
      <c r="AZ99" s="66"/>
      <c r="BA99" s="67"/>
      <c r="BB99" s="67"/>
      <c r="BC99" s="67"/>
      <c r="BD99" s="67"/>
      <c r="BE99" s="67"/>
      <c r="BF99" s="157"/>
      <c r="BG99" s="67"/>
      <c r="BH99" s="185"/>
      <c r="BI99" s="67"/>
      <c r="BJ99" s="67"/>
      <c r="BK99" s="67"/>
      <c r="BL99" s="157"/>
      <c r="BM99" s="66"/>
      <c r="BN99" s="67"/>
      <c r="BO99" s="67"/>
      <c r="BP99" s="67"/>
      <c r="BQ99" s="74"/>
      <c r="BR99" s="67"/>
      <c r="BS99" s="86"/>
      <c r="BT99" s="185"/>
      <c r="BU99" s="1"/>
      <c r="BV99">
        <f t="shared" si="52"/>
        <v>90</v>
      </c>
    </row>
    <row r="100" spans="2:84" x14ac:dyDescent="0.3">
      <c r="B100" s="173">
        <f t="shared" si="51"/>
        <v>44000</v>
      </c>
      <c r="C100" s="61"/>
      <c r="D100" s="17"/>
      <c r="E100" s="16"/>
      <c r="F100" s="16"/>
      <c r="G100" s="16"/>
      <c r="H100" s="16"/>
      <c r="I100" s="16"/>
      <c r="J100" s="38"/>
      <c r="K100" s="16"/>
      <c r="L100" s="16"/>
      <c r="M100" s="16"/>
      <c r="N100" s="16"/>
      <c r="O100" s="41"/>
      <c r="P100" s="456"/>
      <c r="Q100" s="16"/>
      <c r="R100" s="60"/>
      <c r="S100" s="16"/>
      <c r="T100" s="41"/>
      <c r="U100" s="10"/>
      <c r="V100" s="34"/>
      <c r="W100" s="33"/>
      <c r="X100" s="33"/>
      <c r="Y100" s="33"/>
      <c r="Z100" s="33"/>
      <c r="AA100" s="33"/>
      <c r="AB100" s="46"/>
      <c r="AC100" s="33"/>
      <c r="AD100" s="33"/>
      <c r="AE100" s="50"/>
      <c r="AF100" s="33">
        <f>+AF91-AF98</f>
        <v>1035</v>
      </c>
      <c r="AG100" s="33"/>
      <c r="AH100" s="233"/>
      <c r="AI100" s="50"/>
      <c r="AJ100" s="10"/>
      <c r="AK100" s="23"/>
      <c r="AL100" s="24"/>
      <c r="AM100" s="24"/>
      <c r="AN100" s="24"/>
      <c r="AO100" s="24"/>
      <c r="AP100" s="24"/>
      <c r="AQ100" s="25"/>
      <c r="AR100" s="25"/>
      <c r="AS100" s="25"/>
      <c r="AT100" s="24"/>
      <c r="AU100" s="344"/>
      <c r="AV100" s="344"/>
      <c r="AW100" s="24"/>
      <c r="AX100" s="354"/>
      <c r="AY100" s="10"/>
      <c r="AZ100" s="66"/>
      <c r="BA100" s="67"/>
      <c r="BB100" s="67"/>
      <c r="BC100" s="67"/>
      <c r="BD100" s="67"/>
      <c r="BE100" s="67"/>
      <c r="BF100" s="157"/>
      <c r="BG100" s="67"/>
      <c r="BH100" s="185"/>
      <c r="BI100" s="67"/>
      <c r="BJ100" s="157"/>
      <c r="BK100" s="67"/>
      <c r="BL100" s="157"/>
      <c r="BM100" s="66"/>
      <c r="BN100" s="67"/>
      <c r="BO100" s="67"/>
      <c r="BP100" s="67"/>
      <c r="BQ100" s="74"/>
      <c r="BR100" s="67"/>
      <c r="BS100" s="86"/>
      <c r="BT100" s="185"/>
      <c r="BU100" s="1"/>
      <c r="BV100">
        <f t="shared" si="52"/>
        <v>91</v>
      </c>
    </row>
    <row r="101" spans="2:84" x14ac:dyDescent="0.3">
      <c r="B101" s="173">
        <f t="shared" si="51"/>
        <v>44001</v>
      </c>
      <c r="D101" s="18"/>
      <c r="E101" s="19"/>
      <c r="F101" s="19"/>
      <c r="G101" s="19"/>
      <c r="H101" s="19"/>
      <c r="I101" s="19"/>
      <c r="J101" s="39"/>
      <c r="K101" s="19"/>
      <c r="L101" s="19"/>
      <c r="M101" s="19"/>
      <c r="N101" s="19"/>
      <c r="O101" s="43"/>
      <c r="P101" s="18"/>
      <c r="Q101" s="19"/>
      <c r="R101" s="19"/>
      <c r="S101" s="19"/>
      <c r="T101" s="43"/>
      <c r="U101" s="1"/>
      <c r="V101" s="35"/>
      <c r="W101" s="36"/>
      <c r="X101" s="36"/>
      <c r="Y101" s="36"/>
      <c r="Z101" s="36"/>
      <c r="AA101" s="36"/>
      <c r="AB101" s="47"/>
      <c r="AC101" s="36"/>
      <c r="AD101" s="36"/>
      <c r="AE101" s="51"/>
      <c r="AF101" s="36"/>
      <c r="AG101" s="36"/>
      <c r="AH101" s="36"/>
      <c r="AI101" s="51"/>
      <c r="AJ101" s="1"/>
      <c r="AK101" s="26"/>
      <c r="AL101" s="27"/>
      <c r="AM101" s="27"/>
      <c r="AN101" s="27"/>
      <c r="AO101" s="27"/>
      <c r="AP101" s="27"/>
      <c r="AQ101" s="27"/>
      <c r="AR101" s="27"/>
      <c r="AS101" s="27"/>
      <c r="AT101" s="27"/>
      <c r="AU101" s="346"/>
      <c r="AV101" s="346"/>
      <c r="AW101" s="27"/>
      <c r="AX101" s="353"/>
      <c r="AY101" s="1"/>
      <c r="AZ101" s="68"/>
      <c r="BA101" s="69"/>
      <c r="BB101" s="69"/>
      <c r="BC101" s="69"/>
      <c r="BD101" s="69"/>
      <c r="BE101" s="69"/>
      <c r="BF101" s="69"/>
      <c r="BG101" s="69"/>
      <c r="BH101" s="186"/>
      <c r="BI101" s="69"/>
      <c r="BJ101" s="69"/>
      <c r="BK101" s="69"/>
      <c r="BL101" s="69"/>
      <c r="BM101" s="68"/>
      <c r="BN101" s="69"/>
      <c r="BO101" s="69"/>
      <c r="BP101" s="69"/>
      <c r="BQ101" s="71"/>
      <c r="BR101" s="69"/>
      <c r="BS101" s="69"/>
      <c r="BT101" s="186"/>
      <c r="BU101" s="1"/>
      <c r="BV101">
        <f t="shared" si="52"/>
        <v>92</v>
      </c>
    </row>
    <row r="102" spans="2:84" x14ac:dyDescent="0.3">
      <c r="B102" s="56"/>
      <c r="D102" s="1"/>
      <c r="E102" s="1"/>
      <c r="F102" s="1"/>
      <c r="G102" s="1"/>
      <c r="H102" s="59"/>
      <c r="I102" s="1"/>
      <c r="J102" s="5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59"/>
      <c r="W102" s="1"/>
      <c r="X102" s="1"/>
      <c r="Y102" s="1"/>
      <c r="Z102" s="1"/>
      <c r="AA102" s="1"/>
      <c r="AB102" s="59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59"/>
      <c r="BC102" s="1"/>
      <c r="BD102" s="59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2:84" x14ac:dyDescent="0.3">
      <c r="B103" s="181" t="s">
        <v>83</v>
      </c>
      <c r="D103" s="56">
        <f>+D98</f>
        <v>25294</v>
      </c>
      <c r="E103" s="56"/>
      <c r="F103" s="56"/>
      <c r="G103" s="56"/>
      <c r="H103" s="56">
        <f t="shared" ref="H103:BO103" si="85">+H98</f>
        <v>2208244</v>
      </c>
      <c r="I103" s="56">
        <f t="shared" si="85"/>
        <v>0</v>
      </c>
      <c r="J103" s="56">
        <f t="shared" si="85"/>
        <v>1.1587072539453493E-2</v>
      </c>
      <c r="K103" s="56">
        <f t="shared" si="85"/>
        <v>0</v>
      </c>
      <c r="L103" s="56">
        <f t="shared" si="85"/>
        <v>0</v>
      </c>
      <c r="M103" s="56">
        <f t="shared" si="85"/>
        <v>0</v>
      </c>
      <c r="N103" s="56">
        <f t="shared" si="85"/>
        <v>24811.73033707865</v>
      </c>
      <c r="O103" s="56">
        <f t="shared" si="85"/>
        <v>0</v>
      </c>
      <c r="P103" s="56">
        <f t="shared" si="85"/>
        <v>162695</v>
      </c>
      <c r="Q103" s="56">
        <f t="shared" si="85"/>
        <v>0</v>
      </c>
      <c r="R103" s="56" t="e">
        <f t="shared" si="85"/>
        <v>#DIV/0!</v>
      </c>
      <c r="S103" s="56">
        <f t="shared" si="85"/>
        <v>0</v>
      </c>
      <c r="T103" s="56">
        <f t="shared" si="85"/>
        <v>0</v>
      </c>
      <c r="U103" s="56">
        <f t="shared" si="85"/>
        <v>0</v>
      </c>
      <c r="V103" s="56">
        <f t="shared" si="85"/>
        <v>846</v>
      </c>
      <c r="W103" s="56">
        <f t="shared" si="85"/>
        <v>0</v>
      </c>
      <c r="X103" s="56">
        <f t="shared" si="85"/>
        <v>0</v>
      </c>
      <c r="Y103" s="56">
        <f t="shared" si="85"/>
        <v>0</v>
      </c>
      <c r="Z103" s="56">
        <f t="shared" si="85"/>
        <v>119129</v>
      </c>
      <c r="AA103" s="56">
        <f t="shared" si="85"/>
        <v>0</v>
      </c>
      <c r="AB103" s="56">
        <f t="shared" si="85"/>
        <v>5.3947389871771417E-2</v>
      </c>
      <c r="AC103" s="56">
        <f t="shared" si="85"/>
        <v>0</v>
      </c>
      <c r="AD103" s="56">
        <f t="shared" si="85"/>
        <v>1338.5280898876404</v>
      </c>
      <c r="AE103" s="56">
        <f t="shared" si="85"/>
        <v>0</v>
      </c>
      <c r="AF103" s="56">
        <f t="shared" si="85"/>
        <v>4981</v>
      </c>
      <c r="AG103" s="56">
        <f t="shared" si="85"/>
        <v>0</v>
      </c>
      <c r="AH103" s="56">
        <f t="shared" si="85"/>
        <v>-0.17204122340425532</v>
      </c>
      <c r="AI103" s="56">
        <f t="shared" si="85"/>
        <v>0</v>
      </c>
      <c r="AJ103" s="56">
        <f t="shared" si="85"/>
        <v>0</v>
      </c>
      <c r="AK103" s="56">
        <f t="shared" si="85"/>
        <v>13175</v>
      </c>
      <c r="AL103" s="56">
        <f t="shared" si="85"/>
        <v>0</v>
      </c>
      <c r="AM103" s="56">
        <f t="shared" si="85"/>
        <v>0</v>
      </c>
      <c r="AN103" s="56">
        <f t="shared" si="85"/>
        <v>178263</v>
      </c>
      <c r="AO103" s="56">
        <f t="shared" si="85"/>
        <v>903041</v>
      </c>
      <c r="AP103" s="56">
        <f t="shared" si="85"/>
        <v>0</v>
      </c>
      <c r="AQ103" s="56">
        <f t="shared" si="85"/>
        <v>1.4805599944261271E-2</v>
      </c>
      <c r="AR103" s="56">
        <f t="shared" si="85"/>
        <v>0</v>
      </c>
      <c r="AS103" s="56">
        <f t="shared" si="85"/>
        <v>0</v>
      </c>
      <c r="AT103" s="56">
        <f t="shared" si="85"/>
        <v>0</v>
      </c>
      <c r="AU103" s="56">
        <f t="shared" si="85"/>
        <v>0.40894076922658912</v>
      </c>
      <c r="AV103" s="56">
        <f t="shared" si="85"/>
        <v>0</v>
      </c>
      <c r="AW103" s="56">
        <f t="shared" si="85"/>
        <v>10146.528089887641</v>
      </c>
      <c r="AX103" s="56">
        <f t="shared" si="85"/>
        <v>0</v>
      </c>
      <c r="AY103" s="56">
        <f t="shared" si="85"/>
        <v>0</v>
      </c>
      <c r="AZ103" s="56">
        <f t="shared" si="85"/>
        <v>470291</v>
      </c>
      <c r="BA103" s="56">
        <f t="shared" si="85"/>
        <v>0</v>
      </c>
      <c r="BB103" s="56">
        <f t="shared" si="85"/>
        <v>25729368</v>
      </c>
      <c r="BC103" s="56">
        <f t="shared" si="85"/>
        <v>0</v>
      </c>
      <c r="BD103" s="56">
        <f t="shared" si="85"/>
        <v>25294</v>
      </c>
      <c r="BE103" s="56">
        <f t="shared" si="85"/>
        <v>0</v>
      </c>
      <c r="BF103" s="56">
        <f t="shared" si="85"/>
        <v>5.3783721142866864E-2</v>
      </c>
      <c r="BG103" s="56">
        <f t="shared" si="85"/>
        <v>0</v>
      </c>
      <c r="BH103" s="56">
        <f t="shared" si="85"/>
        <v>0</v>
      </c>
      <c r="BI103" s="56">
        <f t="shared" si="85"/>
        <v>0</v>
      </c>
      <c r="BJ103" s="56">
        <f t="shared" si="85"/>
        <v>3588692</v>
      </c>
      <c r="BK103" s="56">
        <f t="shared" si="85"/>
        <v>0</v>
      </c>
      <c r="BL103" s="56">
        <f t="shared" si="85"/>
        <v>4.5335459270397123E-2</v>
      </c>
      <c r="BM103" s="56">
        <f t="shared" si="85"/>
        <v>289094.02247191011</v>
      </c>
      <c r="BN103" s="56">
        <f t="shared" si="85"/>
        <v>0</v>
      </c>
      <c r="BO103" s="56">
        <f t="shared" si="85"/>
        <v>1939128</v>
      </c>
      <c r="BP103" s="10"/>
      <c r="BQ103" s="62"/>
      <c r="BR103" s="10"/>
      <c r="BS103" s="10"/>
      <c r="BT103" s="10"/>
      <c r="BU103" s="10"/>
      <c r="BV103" s="161"/>
      <c r="BW103" s="10"/>
      <c r="BX103" s="62"/>
      <c r="BY103" s="10"/>
      <c r="BZ103" s="161"/>
      <c r="CA103" s="61"/>
      <c r="CB103" s="61"/>
      <c r="CC103" s="61"/>
      <c r="CD103" s="61"/>
      <c r="CE103" s="61"/>
      <c r="CF103" s="158"/>
    </row>
    <row r="104" spans="2:84" x14ac:dyDescent="0.3">
      <c r="B104" t="s">
        <v>119</v>
      </c>
      <c r="D104" s="56">
        <f>+D97-D98</f>
        <v>-4572</v>
      </c>
      <c r="H104" s="56">
        <f t="shared" ref="H104:BO104" si="86">+H97-H98</f>
        <v>-25294</v>
      </c>
      <c r="I104" s="56">
        <f t="shared" si="86"/>
        <v>0</v>
      </c>
      <c r="J104" s="56">
        <f t="shared" si="86"/>
        <v>-2.0034393610837732E-3</v>
      </c>
      <c r="K104" s="56">
        <f t="shared" si="86"/>
        <v>0</v>
      </c>
      <c r="L104" s="56">
        <f t="shared" si="86"/>
        <v>0</v>
      </c>
      <c r="M104" s="56">
        <f t="shared" si="86"/>
        <v>0</v>
      </c>
      <c r="N104" s="56">
        <f t="shared" si="86"/>
        <v>-5.4803370786503365</v>
      </c>
      <c r="O104" s="56">
        <f t="shared" si="86"/>
        <v>0</v>
      </c>
      <c r="P104" s="56">
        <f t="shared" si="86"/>
        <v>-6238</v>
      </c>
      <c r="Q104" s="56">
        <f t="shared" si="86"/>
        <v>0</v>
      </c>
      <c r="R104" s="56" t="e">
        <f t="shared" si="86"/>
        <v>#DIV/0!</v>
      </c>
      <c r="S104" s="56">
        <f t="shared" si="86"/>
        <v>0</v>
      </c>
      <c r="T104" s="56">
        <f t="shared" si="86"/>
        <v>0</v>
      </c>
      <c r="U104" s="56">
        <f t="shared" si="86"/>
        <v>0</v>
      </c>
      <c r="V104" s="56">
        <f t="shared" si="86"/>
        <v>-421</v>
      </c>
      <c r="W104" s="56">
        <f t="shared" si="86"/>
        <v>0</v>
      </c>
      <c r="X104" s="56">
        <f t="shared" si="86"/>
        <v>0</v>
      </c>
      <c r="Y104" s="56">
        <f t="shared" si="86"/>
        <v>0</v>
      </c>
      <c r="Z104" s="56">
        <f t="shared" si="86"/>
        <v>-846</v>
      </c>
      <c r="AA104" s="56">
        <f t="shared" si="86"/>
        <v>0</v>
      </c>
      <c r="AB104" s="56">
        <f t="shared" si="86"/>
        <v>2.375433607808633E-4</v>
      </c>
      <c r="AC104" s="56">
        <f t="shared" si="86"/>
        <v>0</v>
      </c>
      <c r="AD104" s="56">
        <f t="shared" si="86"/>
        <v>5.5969101123596374</v>
      </c>
      <c r="AE104" s="56">
        <f t="shared" si="86"/>
        <v>0</v>
      </c>
      <c r="AF104" s="56">
        <f t="shared" si="86"/>
        <v>247</v>
      </c>
      <c r="AG104" s="56">
        <f t="shared" si="86"/>
        <v>0</v>
      </c>
      <c r="AH104" s="56" t="e">
        <f t="shared" si="86"/>
        <v>#DIV/0!</v>
      </c>
      <c r="AI104" s="56">
        <f t="shared" si="86"/>
        <v>0</v>
      </c>
      <c r="AJ104" s="56">
        <f t="shared" si="86"/>
        <v>0</v>
      </c>
      <c r="AK104" s="56">
        <f t="shared" si="86"/>
        <v>8842</v>
      </c>
      <c r="AL104" s="56">
        <f t="shared" si="86"/>
        <v>0</v>
      </c>
      <c r="AM104" s="56">
        <f t="shared" si="86"/>
        <v>0</v>
      </c>
      <c r="AN104" s="56">
        <f t="shared" si="86"/>
        <v>0</v>
      </c>
      <c r="AO104" s="56">
        <f t="shared" si="86"/>
        <v>-13175</v>
      </c>
      <c r="AP104" s="56">
        <f t="shared" si="86"/>
        <v>0</v>
      </c>
      <c r="AQ104" s="56">
        <f t="shared" si="86"/>
        <v>1.0564020807735908E-2</v>
      </c>
      <c r="AR104" s="56">
        <f t="shared" si="86"/>
        <v>0</v>
      </c>
      <c r="AS104" s="56">
        <f t="shared" si="86"/>
        <v>0</v>
      </c>
      <c r="AT104" s="56">
        <f t="shared" si="86"/>
        <v>0</v>
      </c>
      <c r="AU104" s="56">
        <f t="shared" si="86"/>
        <v>-1.2969844399471908E-3</v>
      </c>
      <c r="AV104" s="56">
        <f t="shared" si="86"/>
        <v>0</v>
      </c>
      <c r="AW104" s="56">
        <f t="shared" si="86"/>
        <v>-34.414453524004784</v>
      </c>
      <c r="AX104" s="56">
        <f t="shared" si="86"/>
        <v>0</v>
      </c>
      <c r="AY104" s="56">
        <f t="shared" si="86"/>
        <v>0</v>
      </c>
      <c r="AZ104" s="56">
        <f t="shared" si="86"/>
        <v>-2145</v>
      </c>
      <c r="BA104" s="56">
        <f t="shared" si="86"/>
        <v>0</v>
      </c>
      <c r="BB104" s="56">
        <f t="shared" si="86"/>
        <v>-470291</v>
      </c>
      <c r="BC104" s="56">
        <f t="shared" si="86"/>
        <v>0</v>
      </c>
      <c r="BD104" s="56">
        <f t="shared" si="86"/>
        <v>-4572</v>
      </c>
      <c r="BE104" s="56">
        <f t="shared" si="86"/>
        <v>0</v>
      </c>
      <c r="BF104" s="56">
        <f t="shared" si="86"/>
        <v>-9.5197522100980286E-3</v>
      </c>
      <c r="BG104" s="56">
        <f t="shared" si="86"/>
        <v>0</v>
      </c>
      <c r="BH104" s="56">
        <f t="shared" si="86"/>
        <v>0</v>
      </c>
      <c r="BI104" s="56">
        <f t="shared" si="86"/>
        <v>0</v>
      </c>
      <c r="BJ104" s="56">
        <f t="shared" si="86"/>
        <v>-54679</v>
      </c>
      <c r="BK104" s="56">
        <f t="shared" si="86"/>
        <v>0</v>
      </c>
      <c r="BL104" s="56">
        <f t="shared" si="86"/>
        <v>-1.0636923017979666E-3</v>
      </c>
      <c r="BM104" s="56">
        <f t="shared" si="86"/>
        <v>-2059.0565628192271</v>
      </c>
      <c r="BN104" s="56">
        <f t="shared" si="86"/>
        <v>0</v>
      </c>
      <c r="BO104" s="56">
        <f t="shared" si="86"/>
        <v>-25294</v>
      </c>
      <c r="BP104" s="10"/>
      <c r="BQ104" s="10"/>
      <c r="BR104" s="10"/>
      <c r="BS104" s="10"/>
      <c r="BT104" s="10"/>
      <c r="BU104" s="10"/>
      <c r="BV104" s="62"/>
      <c r="BW104" s="10"/>
      <c r="BX104" s="10"/>
      <c r="BY104" s="10"/>
      <c r="BZ104" s="62"/>
      <c r="CA104" s="61"/>
      <c r="CB104" s="61"/>
      <c r="CC104" s="61"/>
      <c r="CD104" s="61"/>
      <c r="CE104" s="61"/>
      <c r="CF104" s="117"/>
    </row>
    <row r="105" spans="2:84" x14ac:dyDescent="0.3">
      <c r="N105" s="59"/>
      <c r="Z105" s="56"/>
      <c r="AB105" s="59"/>
      <c r="AD105" s="275"/>
      <c r="AZ105" s="59"/>
      <c r="BF105" s="59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61"/>
      <c r="CB105" s="117"/>
      <c r="CC105" s="117"/>
      <c r="CD105" s="117"/>
      <c r="CE105" s="117"/>
    </row>
    <row r="106" spans="2:84" x14ac:dyDescent="0.3">
      <c r="D106" s="56"/>
      <c r="H106" s="1"/>
      <c r="N106" s="59"/>
      <c r="V106" s="56"/>
      <c r="Z106" s="55"/>
      <c r="AZ106" s="59"/>
      <c r="BB106" s="56"/>
      <c r="BD106" s="59"/>
      <c r="BI106" s="61"/>
      <c r="BJ106" s="62">
        <f>+BJ104/BJ82</f>
        <v>-1.8707675590382E-2</v>
      </c>
      <c r="BK106" s="61"/>
      <c r="BL106" s="61"/>
      <c r="BM106" s="61"/>
      <c r="BN106" s="61"/>
      <c r="BO106" s="61"/>
      <c r="BP106" s="61"/>
      <c r="BQ106" s="61"/>
      <c r="BR106" s="10"/>
      <c r="BS106" s="10"/>
    </row>
    <row r="107" spans="2:84" x14ac:dyDescent="0.3">
      <c r="H107" s="56"/>
      <c r="V107" s="56"/>
      <c r="Z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90"/>
      <c r="BR107" s="1"/>
      <c r="BS107" s="1"/>
    </row>
    <row r="108" spans="2:84" x14ac:dyDescent="0.3">
      <c r="D108" s="1"/>
      <c r="E108" s="123" t="s">
        <v>28</v>
      </c>
      <c r="F108" s="124"/>
      <c r="G108" s="124" t="s">
        <v>67</v>
      </c>
      <c r="H108" s="116"/>
      <c r="I108" s="116"/>
      <c r="J108" s="116"/>
      <c r="K108" s="61"/>
      <c r="L108" s="10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90"/>
      <c r="BR108" s="1"/>
      <c r="BS108" s="1"/>
    </row>
    <row r="109" spans="2:84" x14ac:dyDescent="0.3">
      <c r="D109" s="1"/>
      <c r="E109" s="123" t="s">
        <v>40</v>
      </c>
      <c r="F109" s="124"/>
      <c r="G109" s="124" t="s">
        <v>42</v>
      </c>
      <c r="H109" s="10"/>
      <c r="I109" s="10"/>
      <c r="J109" s="10"/>
      <c r="K109" s="61"/>
      <c r="L109" s="10"/>
      <c r="AC109" s="1"/>
      <c r="AD109" s="1"/>
      <c r="AE109" s="1"/>
      <c r="AF109" s="1"/>
      <c r="AG109" s="1"/>
      <c r="AH109" s="1"/>
      <c r="AI109" s="1"/>
      <c r="AJ109" s="1"/>
      <c r="AK109" s="1" t="s">
        <v>17</v>
      </c>
      <c r="AL109" s="1"/>
      <c r="AM109" s="1"/>
      <c r="AN109" s="1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90"/>
      <c r="BR109" s="1"/>
      <c r="BS109" s="1"/>
    </row>
    <row r="110" spans="2:84" x14ac:dyDescent="0.3">
      <c r="D110" s="1"/>
      <c r="E110" s="123" t="s">
        <v>47</v>
      </c>
      <c r="F110" s="124"/>
      <c r="G110" s="124" t="s">
        <v>57</v>
      </c>
      <c r="H110" s="10"/>
      <c r="I110" s="10"/>
      <c r="J110" s="10"/>
      <c r="K110" s="61"/>
      <c r="L110" s="10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90"/>
      <c r="BR110" s="1"/>
      <c r="BS110" s="1"/>
    </row>
    <row r="111" spans="2:84" x14ac:dyDescent="0.3">
      <c r="D111" s="1"/>
      <c r="E111" s="123" t="s">
        <v>68</v>
      </c>
      <c r="F111" s="61"/>
      <c r="G111" s="93" t="s">
        <v>69</v>
      </c>
      <c r="H111" s="61"/>
      <c r="I111" s="61"/>
      <c r="J111" s="61"/>
      <c r="K111" s="61"/>
      <c r="L111" s="6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90"/>
      <c r="BR111" s="1"/>
      <c r="BS111" s="1"/>
    </row>
    <row r="112" spans="2:84" x14ac:dyDescent="0.3">
      <c r="AC112" s="1"/>
      <c r="AD112" s="1"/>
      <c r="AE112" s="1"/>
      <c r="AF112" s="1"/>
      <c r="AG112" s="1"/>
      <c r="AH112" s="1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1"/>
      <c r="BS112" s="1"/>
    </row>
    <row r="113" spans="2:86" x14ac:dyDescent="0.3">
      <c r="AC113" s="1"/>
      <c r="AD113" s="1"/>
      <c r="AE113" s="1"/>
      <c r="AF113" s="1"/>
      <c r="AG113" s="1"/>
      <c r="AH113" s="1"/>
    </row>
    <row r="114" spans="2:86" x14ac:dyDescent="0.3">
      <c r="D114" s="56"/>
      <c r="AC114" s="1"/>
      <c r="AD114" s="1"/>
      <c r="AE114" s="1"/>
      <c r="AF114" s="1"/>
      <c r="AG114" s="1"/>
      <c r="AH114" s="1"/>
    </row>
    <row r="115" spans="2:86" x14ac:dyDescent="0.3">
      <c r="D115" s="1">
        <v>4900</v>
      </c>
      <c r="Z115" s="56"/>
      <c r="AC115" s="1"/>
      <c r="AD115" s="1"/>
      <c r="AE115" s="1"/>
      <c r="AF115" s="1"/>
      <c r="AG115" s="1"/>
      <c r="AH115" s="1"/>
    </row>
    <row r="116" spans="2:86" x14ac:dyDescent="0.3">
      <c r="D116" s="1">
        <v>1000000</v>
      </c>
      <c r="AC116" s="1"/>
      <c r="AD116" s="1"/>
      <c r="AE116" s="1"/>
      <c r="AF116" s="1"/>
      <c r="AG116" s="1"/>
      <c r="AH116" s="1"/>
    </row>
    <row r="117" spans="2:86" x14ac:dyDescent="0.3">
      <c r="AC117" s="1"/>
      <c r="AD117" s="1"/>
      <c r="AE117" s="1"/>
      <c r="AF117" s="1"/>
      <c r="AG117" s="1"/>
      <c r="AH117" s="1"/>
    </row>
    <row r="118" spans="2:86" x14ac:dyDescent="0.3">
      <c r="D118" s="279">
        <f>+D115/D116</f>
        <v>4.8999999999999998E-3</v>
      </c>
      <c r="AC118" s="1"/>
      <c r="AD118" s="1"/>
      <c r="AE118" s="1"/>
      <c r="AF118" s="1"/>
      <c r="AG118" s="1"/>
      <c r="AH118" s="1"/>
    </row>
    <row r="119" spans="2:86" x14ac:dyDescent="0.3">
      <c r="AC119" s="1"/>
      <c r="AD119" s="1"/>
      <c r="AE119" s="1"/>
      <c r="AF119" s="1"/>
      <c r="AG119" s="1"/>
      <c r="AH119" s="1"/>
    </row>
    <row r="120" spans="2:86" x14ac:dyDescent="0.3">
      <c r="D120" s="474">
        <v>32000</v>
      </c>
      <c r="AC120" s="1"/>
      <c r="AD120" s="1"/>
      <c r="AE120" s="1"/>
      <c r="AF120" s="1"/>
      <c r="AG120" s="1"/>
      <c r="AH120" s="1"/>
    </row>
    <row r="121" spans="2:86" x14ac:dyDescent="0.3">
      <c r="B121" s="473"/>
      <c r="D121" s="279">
        <f>+D120/D128</f>
        <v>9.6969696969696976E-5</v>
      </c>
      <c r="AC121" s="1"/>
      <c r="AD121" s="1"/>
      <c r="AE121" s="1"/>
      <c r="AF121" s="1"/>
      <c r="AG121" s="1"/>
      <c r="AH121" s="1"/>
    </row>
    <row r="122" spans="2:86" x14ac:dyDescent="0.3">
      <c r="D122" s="473"/>
      <c r="AC122" s="1"/>
      <c r="AD122" s="1"/>
      <c r="AE122" s="1"/>
      <c r="AF122" s="1"/>
      <c r="AG122" s="1"/>
      <c r="AH122" s="1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1"/>
      <c r="BS122" s="1"/>
      <c r="BT122" s="1"/>
      <c r="BU122" s="1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</row>
    <row r="123" spans="2:86" x14ac:dyDescent="0.3">
      <c r="AC123" s="10"/>
      <c r="AD123" s="10"/>
      <c r="AE123" s="10"/>
      <c r="AF123" s="10"/>
      <c r="AG123" s="10"/>
      <c r="AH123" s="10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89"/>
      <c r="BW123" s="89"/>
      <c r="BX123" s="89"/>
      <c r="BY123" s="89"/>
      <c r="BZ123" s="121"/>
      <c r="CA123" s="1"/>
      <c r="CB123" s="1"/>
      <c r="CC123" s="1"/>
      <c r="CD123" s="1"/>
      <c r="CE123" s="1"/>
      <c r="CF123" s="1"/>
      <c r="CG123" s="1"/>
      <c r="CH123" s="1"/>
    </row>
    <row r="124" spans="2:86" x14ac:dyDescent="0.3">
      <c r="D124">
        <v>10</v>
      </c>
      <c r="AC124" s="10"/>
      <c r="AD124" s="10"/>
      <c r="AE124" s="10"/>
      <c r="AF124" s="10"/>
      <c r="AG124" s="10"/>
      <c r="AH124" s="10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89"/>
      <c r="BW124" s="89"/>
      <c r="BX124" s="89"/>
      <c r="BY124" s="89"/>
      <c r="BZ124" s="89"/>
      <c r="CA124" s="1"/>
      <c r="CB124" s="1"/>
      <c r="CC124" s="1"/>
      <c r="CD124" s="1"/>
      <c r="CE124" s="1"/>
      <c r="CF124" s="1"/>
      <c r="CG124" s="1"/>
      <c r="CH124" s="1"/>
    </row>
    <row r="125" spans="2:86" x14ac:dyDescent="0.3">
      <c r="D125" s="1">
        <v>1000000</v>
      </c>
      <c r="AC125" s="10"/>
      <c r="AD125" s="10"/>
      <c r="AE125" s="10"/>
      <c r="AF125" s="10"/>
      <c r="AG125" s="10"/>
      <c r="AH125" s="10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89"/>
      <c r="BW125" s="89"/>
      <c r="BX125" s="89"/>
      <c r="BY125" s="89"/>
      <c r="BZ125" s="89"/>
      <c r="CA125" s="1"/>
      <c r="CB125" s="1"/>
      <c r="CC125" s="1"/>
      <c r="CD125" s="1"/>
      <c r="CE125" s="1"/>
      <c r="CF125" s="1"/>
    </row>
    <row r="126" spans="2:86" x14ac:dyDescent="0.3">
      <c r="D126" s="57">
        <f>+D124/D125</f>
        <v>1.0000000000000001E-5</v>
      </c>
      <c r="AC126" s="10"/>
      <c r="AD126" s="10"/>
      <c r="AE126" s="10"/>
      <c r="AF126" s="10"/>
      <c r="AG126" s="10"/>
      <c r="AH126" s="10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89"/>
      <c r="BW126" s="89"/>
      <c r="BX126" s="89"/>
      <c r="BY126" s="89"/>
      <c r="BZ126" s="89"/>
      <c r="CA126" s="1"/>
      <c r="CB126" s="1"/>
      <c r="CC126" s="1"/>
      <c r="CD126" s="1"/>
      <c r="CE126" s="1"/>
      <c r="CF126" s="1"/>
    </row>
    <row r="127" spans="2:86" x14ac:dyDescent="0.3">
      <c r="AC127" s="10"/>
      <c r="AD127" s="10"/>
      <c r="AE127" s="10"/>
      <c r="AF127" s="10"/>
      <c r="AG127" s="10"/>
      <c r="AH127" s="10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89"/>
      <c r="BW127" s="89"/>
      <c r="BX127" s="122"/>
      <c r="BY127" s="89"/>
      <c r="BZ127" s="89"/>
    </row>
    <row r="128" spans="2:86" x14ac:dyDescent="0.3">
      <c r="D128" s="1">
        <v>330000000</v>
      </c>
      <c r="AC128" s="10"/>
      <c r="AD128" s="10"/>
      <c r="AE128" s="10"/>
      <c r="AF128" s="10"/>
      <c r="AG128" s="10"/>
      <c r="AH128" s="10"/>
      <c r="AI128" s="90"/>
      <c r="AJ128" s="90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90"/>
      <c r="BB128" s="90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89"/>
      <c r="BW128" s="89"/>
      <c r="BX128" s="89"/>
      <c r="BY128" s="89"/>
      <c r="BZ128" s="89"/>
    </row>
    <row r="129" spans="2:78" x14ac:dyDescent="0.3">
      <c r="AC129" s="10"/>
      <c r="AD129" s="10"/>
      <c r="AE129" s="10"/>
      <c r="AF129" s="10"/>
      <c r="AG129" s="10"/>
      <c r="AH129" s="10"/>
      <c r="AI129" s="90"/>
      <c r="AJ129" s="90"/>
      <c r="AK129" s="151"/>
      <c r="AL129" s="151"/>
      <c r="AM129" s="151"/>
      <c r="AN129" s="151"/>
      <c r="AO129" s="151"/>
      <c r="AP129" s="151"/>
      <c r="AQ129" s="151"/>
      <c r="AR129" s="90"/>
      <c r="AS129" s="90"/>
      <c r="AT129" s="90"/>
      <c r="AU129" s="110"/>
      <c r="AV129" s="110"/>
      <c r="AW129" s="110"/>
      <c r="AX129" s="110"/>
      <c r="AY129" s="90"/>
      <c r="AZ129" s="90"/>
      <c r="BA129" s="110"/>
      <c r="BB129" s="90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89"/>
      <c r="BW129" s="89"/>
      <c r="BX129" s="89"/>
      <c r="BY129" s="89"/>
      <c r="BZ129" s="89"/>
    </row>
    <row r="130" spans="2:78" x14ac:dyDescent="0.3">
      <c r="D130" s="471">
        <f>+H72/D128</f>
        <v>4.9627030303030307E-3</v>
      </c>
      <c r="AC130" s="10"/>
      <c r="AD130" s="10"/>
      <c r="AE130" s="10"/>
      <c r="AF130" s="10"/>
      <c r="AG130" s="10"/>
      <c r="AH130" s="10"/>
      <c r="AI130" s="90"/>
      <c r="AJ130" s="90"/>
      <c r="AK130" s="151"/>
      <c r="AL130" s="151"/>
      <c r="AM130" s="151"/>
      <c r="AN130" s="151"/>
      <c r="AO130" s="151"/>
      <c r="AP130" s="151"/>
      <c r="AQ130" s="151"/>
      <c r="AR130" s="151"/>
      <c r="AS130" s="110"/>
      <c r="AT130" s="90"/>
      <c r="AU130" s="110"/>
      <c r="AV130" s="110"/>
      <c r="AW130" s="110"/>
      <c r="AX130" s="110"/>
      <c r="AY130" s="90"/>
      <c r="AZ130" s="90"/>
      <c r="BA130" s="110"/>
      <c r="BB130" s="90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89"/>
      <c r="BW130" s="89"/>
      <c r="BX130" s="89"/>
      <c r="BY130" s="89"/>
      <c r="BZ130" s="89"/>
    </row>
    <row r="131" spans="2:78" x14ac:dyDescent="0.3">
      <c r="D131">
        <v>150000</v>
      </c>
      <c r="AC131" s="10"/>
      <c r="AD131" s="10"/>
      <c r="AE131" s="10"/>
      <c r="AF131" s="10"/>
      <c r="AG131" s="10"/>
      <c r="AH131" s="10"/>
      <c r="AI131" s="90"/>
      <c r="AJ131" s="90"/>
      <c r="AK131" s="90"/>
      <c r="AL131" s="90"/>
      <c r="AM131" s="152"/>
      <c r="AN131" s="152"/>
      <c r="AO131" s="152"/>
      <c r="AP131" s="152"/>
      <c r="AQ131" s="152"/>
      <c r="AR131" s="90"/>
      <c r="AS131" s="90"/>
      <c r="AT131" s="90"/>
      <c r="AU131" s="110"/>
      <c r="AV131" s="110"/>
      <c r="AW131" s="110"/>
      <c r="AX131" s="110"/>
      <c r="AY131" s="90"/>
      <c r="AZ131" s="90"/>
      <c r="BA131" s="110"/>
      <c r="BB131" s="90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89"/>
      <c r="BW131" s="89"/>
      <c r="BX131" s="89"/>
      <c r="BY131" s="89"/>
      <c r="BZ131" s="89"/>
    </row>
    <row r="132" spans="2:78" x14ac:dyDescent="0.3">
      <c r="D132" s="279">
        <f>+D131/D128</f>
        <v>4.5454545454545455E-4</v>
      </c>
      <c r="AC132" s="10"/>
      <c r="AD132" s="10"/>
      <c r="AE132" s="10"/>
      <c r="AF132" s="10"/>
      <c r="AG132" s="10"/>
      <c r="AH132" s="10"/>
      <c r="AI132" s="90"/>
      <c r="AJ132" s="90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10"/>
      <c r="AV132" s="110"/>
      <c r="AW132" s="110"/>
      <c r="AX132" s="110"/>
      <c r="AY132" s="90"/>
      <c r="AZ132" s="90"/>
      <c r="BA132" s="110"/>
      <c r="BB132" s="90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</row>
    <row r="133" spans="2:78" x14ac:dyDescent="0.3">
      <c r="D133">
        <v>28.59</v>
      </c>
      <c r="AC133" s="10"/>
      <c r="AD133" s="10"/>
      <c r="AE133" s="10"/>
      <c r="AF133" s="10"/>
      <c r="AG133" s="10"/>
      <c r="AH133" s="10"/>
      <c r="AI133" s="90"/>
      <c r="AJ133" s="90"/>
      <c r="AK133" s="90"/>
      <c r="AL133" s="90"/>
      <c r="AM133" s="152"/>
      <c r="AN133" s="152"/>
      <c r="AO133" s="152"/>
      <c r="AP133" s="152"/>
      <c r="AQ133" s="152"/>
      <c r="AR133" s="152"/>
      <c r="AS133" s="152"/>
      <c r="AT133" s="90"/>
      <c r="AU133" s="110"/>
      <c r="AV133" s="110"/>
      <c r="AW133" s="110"/>
      <c r="AX133" s="110"/>
      <c r="AY133" s="90"/>
      <c r="AZ133" s="90"/>
      <c r="BA133" s="110"/>
      <c r="BB133" s="90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</row>
    <row r="134" spans="2:78" x14ac:dyDescent="0.3">
      <c r="AC134" s="10"/>
      <c r="AD134" s="10"/>
      <c r="AE134" s="10"/>
      <c r="AF134" s="10"/>
      <c r="AG134" s="10"/>
      <c r="AH134" s="10"/>
      <c r="AI134" s="90"/>
      <c r="AJ134" s="90"/>
      <c r="AK134" s="90"/>
      <c r="AL134" s="90"/>
      <c r="AM134" s="152"/>
      <c r="AN134" s="152"/>
      <c r="AO134" s="152"/>
      <c r="AP134" s="152"/>
      <c r="AQ134" s="152"/>
      <c r="AR134" s="152"/>
      <c r="AS134" s="152"/>
      <c r="AT134" s="90"/>
      <c r="AU134" s="110"/>
      <c r="AV134" s="110"/>
      <c r="AW134" s="110"/>
      <c r="AX134" s="110"/>
      <c r="AY134" s="90"/>
      <c r="AZ134" s="90"/>
      <c r="BA134" s="110"/>
      <c r="BB134" s="90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</row>
    <row r="135" spans="2:78" x14ac:dyDescent="0.3">
      <c r="D135">
        <f>+D128/100000</f>
        <v>3300</v>
      </c>
      <c r="AC135" s="10"/>
      <c r="AD135" s="10"/>
      <c r="AE135" s="10"/>
      <c r="AF135" s="10"/>
      <c r="AG135" s="10"/>
      <c r="AH135" s="10"/>
      <c r="AI135" s="90"/>
      <c r="AJ135" s="90"/>
      <c r="AK135" s="90"/>
      <c r="AL135" s="90"/>
      <c r="AM135" s="152"/>
      <c r="AN135" s="152"/>
      <c r="AO135" s="152"/>
      <c r="AP135" s="152"/>
      <c r="AQ135" s="152"/>
      <c r="AR135" s="152"/>
      <c r="AS135" s="152"/>
      <c r="AT135" s="90"/>
      <c r="AU135" s="110"/>
      <c r="AV135" s="110"/>
      <c r="AW135" s="110"/>
      <c r="AX135" s="110"/>
      <c r="AY135" s="90"/>
      <c r="AZ135" s="90"/>
      <c r="BA135" s="110"/>
      <c r="BB135" s="90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</row>
    <row r="136" spans="2:78" x14ac:dyDescent="0.3">
      <c r="D136">
        <f>+D135*D133</f>
        <v>94347</v>
      </c>
      <c r="AC136" s="10"/>
      <c r="AD136" s="10"/>
      <c r="AE136" s="10"/>
      <c r="AF136" s="10"/>
      <c r="AG136" s="10"/>
      <c r="AH136" s="10"/>
      <c r="AI136" s="90"/>
      <c r="AJ136" s="90"/>
      <c r="AK136" s="90"/>
      <c r="AL136" s="90"/>
      <c r="AM136" s="152"/>
      <c r="AN136" s="152"/>
      <c r="AO136" s="152"/>
      <c r="AP136" s="152"/>
      <c r="AQ136" s="152"/>
      <c r="AR136" s="152"/>
      <c r="AS136" s="152"/>
      <c r="AT136" s="90"/>
      <c r="AU136" s="110"/>
      <c r="AV136" s="110"/>
      <c r="AW136" s="110"/>
      <c r="AX136" s="110"/>
      <c r="AY136" s="90"/>
      <c r="AZ136" s="90"/>
      <c r="BA136" s="110"/>
      <c r="BB136" s="90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</row>
    <row r="137" spans="2:78" x14ac:dyDescent="0.3">
      <c r="AC137" s="10"/>
      <c r="AD137" s="10"/>
      <c r="AE137" s="10"/>
      <c r="AF137" s="10"/>
      <c r="AG137" s="10"/>
      <c r="AH137" s="10"/>
      <c r="AI137" s="90"/>
      <c r="AJ137" s="90"/>
      <c r="AK137" s="90"/>
      <c r="AL137" s="90"/>
      <c r="AM137" s="152"/>
      <c r="AN137" s="152"/>
      <c r="AO137" s="152"/>
      <c r="AP137" s="152"/>
      <c r="AQ137" s="152"/>
      <c r="AR137" s="152"/>
      <c r="AS137" s="152"/>
      <c r="AT137" s="90"/>
      <c r="AU137" s="110"/>
      <c r="AV137" s="110"/>
      <c r="AW137" s="110"/>
      <c r="AX137" s="110"/>
      <c r="AY137" s="90"/>
      <c r="AZ137" s="90"/>
      <c r="BA137" s="110"/>
      <c r="BB137" s="90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</row>
    <row r="138" spans="2:78" x14ac:dyDescent="0.3">
      <c r="AC138" s="10"/>
      <c r="AD138" s="10"/>
      <c r="AE138" s="10"/>
      <c r="AF138" s="10"/>
      <c r="AG138" s="10"/>
      <c r="AH138" s="10"/>
      <c r="AI138" s="90"/>
      <c r="AJ138" s="90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90"/>
      <c r="AV138" s="90"/>
      <c r="AW138" s="90"/>
      <c r="AX138" s="90"/>
      <c r="AY138" s="90"/>
      <c r="AZ138" s="110"/>
      <c r="BA138" s="110"/>
      <c r="BB138" s="90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</row>
    <row r="139" spans="2:78" x14ac:dyDescent="0.3">
      <c r="AC139" s="10"/>
      <c r="AD139" s="10"/>
      <c r="AE139" s="10"/>
      <c r="AF139" s="10"/>
      <c r="AG139" s="10"/>
      <c r="AH139" s="10"/>
      <c r="AI139" s="90"/>
      <c r="AJ139" s="90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90"/>
      <c r="AZ139" s="90"/>
      <c r="BA139" s="110"/>
      <c r="BB139" s="90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</row>
    <row r="140" spans="2:78" x14ac:dyDescent="0.3"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90"/>
      <c r="AT140" s="110"/>
      <c r="AU140" s="153"/>
      <c r="AV140" s="153"/>
      <c r="AW140" s="153"/>
      <c r="AX140" s="153"/>
      <c r="AY140" s="110"/>
      <c r="AZ140" s="110"/>
      <c r="BA140" s="110"/>
      <c r="BB140" s="110"/>
    </row>
    <row r="141" spans="2:78" x14ac:dyDescent="0.3">
      <c r="B141" s="125"/>
      <c r="D141" s="55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90"/>
      <c r="AV141" s="90"/>
      <c r="AW141" s="90"/>
      <c r="AX141" s="90"/>
      <c r="AY141" s="110"/>
      <c r="AZ141" s="154"/>
      <c r="BA141" s="110"/>
      <c r="BB141" s="110"/>
    </row>
    <row r="142" spans="2:78" x14ac:dyDescent="0.3">
      <c r="B142" s="1"/>
      <c r="D142" s="55"/>
      <c r="W142" s="61"/>
      <c r="X142" s="61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</row>
    <row r="143" spans="2:78" x14ac:dyDescent="0.3">
      <c r="B143" s="1"/>
      <c r="D143" s="55"/>
      <c r="W143" s="61"/>
      <c r="X143" s="61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</row>
    <row r="144" spans="2:78" x14ac:dyDescent="0.3">
      <c r="B144" s="1"/>
      <c r="D144" s="55"/>
      <c r="W144" s="61"/>
      <c r="X144" s="61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</row>
    <row r="145" spans="2:43" x14ac:dyDescent="0.3">
      <c r="B145" s="1"/>
      <c r="D145" s="55"/>
      <c r="W145" s="61"/>
      <c r="X145" s="61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</row>
    <row r="146" spans="2:43" x14ac:dyDescent="0.3">
      <c r="B146" s="55"/>
      <c r="D146" s="55"/>
      <c r="W146" s="61"/>
      <c r="X146" s="61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</row>
    <row r="147" spans="2:43" x14ac:dyDescent="0.3">
      <c r="B147" s="57"/>
      <c r="D147" s="55"/>
      <c r="W147" s="61"/>
      <c r="X147" s="61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</row>
    <row r="148" spans="2:43" x14ac:dyDescent="0.3">
      <c r="B148" s="1"/>
      <c r="D148" s="55"/>
      <c r="W148" s="61"/>
      <c r="X148" s="61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</row>
    <row r="149" spans="2:43" x14ac:dyDescent="0.3">
      <c r="B149" s="1"/>
      <c r="D149" s="55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</row>
    <row r="150" spans="2:43" x14ac:dyDescent="0.3">
      <c r="B150" s="1"/>
      <c r="D150" s="55"/>
    </row>
    <row r="151" spans="2:43" x14ac:dyDescent="0.3">
      <c r="B151" s="1"/>
      <c r="D151" s="55"/>
    </row>
    <row r="152" spans="2:43" x14ac:dyDescent="0.3">
      <c r="B152" s="57" t="e">
        <f>+B151/B150</f>
        <v>#DIV/0!</v>
      </c>
      <c r="D152" s="55"/>
    </row>
    <row r="153" spans="2:43" x14ac:dyDescent="0.3">
      <c r="B153" s="1"/>
      <c r="D153" s="55"/>
    </row>
    <row r="154" spans="2:43" x14ac:dyDescent="0.3">
      <c r="B154" s="1"/>
      <c r="D154" s="55"/>
    </row>
    <row r="155" spans="2:43" x14ac:dyDescent="0.3">
      <c r="B155" s="1">
        <f>+B151*50</f>
        <v>0</v>
      </c>
      <c r="D155" s="55"/>
    </row>
    <row r="156" spans="2:43" x14ac:dyDescent="0.3">
      <c r="B156" s="1"/>
      <c r="D156" s="55"/>
    </row>
    <row r="157" spans="2:43" x14ac:dyDescent="0.3">
      <c r="B157" s="1"/>
      <c r="D157" s="55"/>
    </row>
    <row r="158" spans="2:43" x14ac:dyDescent="0.3">
      <c r="B158" s="1"/>
      <c r="D158" s="55"/>
    </row>
    <row r="159" spans="2:43" x14ac:dyDescent="0.3">
      <c r="B159" s="1"/>
      <c r="D159" s="55"/>
    </row>
    <row r="160" spans="2:43" x14ac:dyDescent="0.3">
      <c r="B160" s="1"/>
      <c r="D160" s="55"/>
    </row>
    <row r="161" spans="2:4" x14ac:dyDescent="0.3">
      <c r="B161" s="1"/>
      <c r="D161" s="55"/>
    </row>
    <row r="162" spans="2:4" x14ac:dyDescent="0.3">
      <c r="B162" s="1"/>
      <c r="D162" s="55"/>
    </row>
    <row r="163" spans="2:4" x14ac:dyDescent="0.3">
      <c r="B163" s="1"/>
      <c r="D163" s="55"/>
    </row>
    <row r="164" spans="2:4" x14ac:dyDescent="0.3">
      <c r="B164" s="1"/>
      <c r="D164" s="55"/>
    </row>
    <row r="165" spans="2:4" x14ac:dyDescent="0.3">
      <c r="B165" s="1"/>
    </row>
    <row r="166" spans="2:4" x14ac:dyDescent="0.3">
      <c r="B166" s="1"/>
    </row>
    <row r="167" spans="2:4" x14ac:dyDescent="0.3">
      <c r="B167" s="1"/>
    </row>
    <row r="168" spans="2:4" x14ac:dyDescent="0.3">
      <c r="B168" s="1"/>
    </row>
    <row r="169" spans="2:4" x14ac:dyDescent="0.3">
      <c r="B169" s="1"/>
    </row>
    <row r="170" spans="2:4" x14ac:dyDescent="0.3">
      <c r="B170" s="1"/>
    </row>
    <row r="171" spans="2:4" x14ac:dyDescent="0.3">
      <c r="B171" s="1"/>
    </row>
    <row r="172" spans="2:4" x14ac:dyDescent="0.3">
      <c r="B172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20"/>
  <sheetViews>
    <sheetView topLeftCell="A69" workbookViewId="0">
      <selection activeCell="AD91" sqref="AD91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79</v>
      </c>
      <c r="E7" s="514" t="s">
        <v>7</v>
      </c>
      <c r="F7" s="515"/>
      <c r="G7" s="519">
        <v>0.7</v>
      </c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20"/>
    </row>
    <row r="8" spans="3:40" x14ac:dyDescent="0.3">
      <c r="E8" s="516" t="s">
        <v>124</v>
      </c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8"/>
    </row>
    <row r="9" spans="3:40" x14ac:dyDescent="0.3">
      <c r="E9" s="534" t="s">
        <v>37</v>
      </c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6"/>
      <c r="Q9" s="532" t="s">
        <v>117</v>
      </c>
      <c r="R9" s="5"/>
      <c r="S9" s="529" t="s">
        <v>4</v>
      </c>
      <c r="T9" s="530"/>
      <c r="U9" s="531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80</v>
      </c>
      <c r="N10" s="119"/>
      <c r="O10" s="120" t="s">
        <v>15</v>
      </c>
      <c r="P10" s="374"/>
      <c r="Q10" s="533"/>
      <c r="R10" s="6"/>
      <c r="S10" s="4" t="s">
        <v>4</v>
      </c>
      <c r="T10" s="6"/>
      <c r="U10" s="285" t="s">
        <v>81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60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97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26" t="s">
        <v>48</v>
      </c>
      <c r="AE14" s="527"/>
      <c r="AF14" s="528"/>
      <c r="AG14" s="208"/>
      <c r="AH14" s="524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25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+K108</f>
        <v>597250</v>
      </c>
      <c r="AG16" s="202"/>
      <c r="AH16" s="216">
        <f>+AJ31</f>
        <v>1843.2141381100359</v>
      </c>
      <c r="AI16" s="216"/>
      <c r="AJ16" s="217">
        <f>+S108</f>
        <v>47884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58</v>
      </c>
      <c r="AE17" s="170"/>
      <c r="AF17" s="163">
        <v>105885</v>
      </c>
      <c r="AG17" s="203"/>
      <c r="AH17" s="164">
        <v>1536</v>
      </c>
      <c r="AI17" s="216"/>
      <c r="AJ17" s="163">
        <v>7664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91</v>
      </c>
      <c r="AE18" s="170"/>
      <c r="AF18" s="163">
        <v>83978</v>
      </c>
      <c r="AG18" s="203"/>
      <c r="AH18" s="164">
        <v>656</v>
      </c>
      <c r="AI18" s="216"/>
      <c r="AJ18" s="163">
        <v>6276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787113</v>
      </c>
      <c r="AG19" s="203"/>
      <c r="AH19" s="203"/>
      <c r="AI19" s="203"/>
      <c r="AJ19" s="221">
        <f>SUM(AJ16:AJ18)</f>
        <v>61824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Table'!H103</f>
        <v>0.35644294742791105</v>
      </c>
      <c r="AG21" s="203"/>
      <c r="AH21" s="203"/>
      <c r="AI21" s="203"/>
      <c r="AJ21" s="223">
        <f>+AJ19/'Main Table'!Z103</f>
        <v>0.51896683427209156</v>
      </c>
      <c r="AK21" s="220"/>
      <c r="AL21" s="110"/>
      <c r="AM21" s="96"/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26" t="s">
        <v>134</v>
      </c>
      <c r="AB25" s="527"/>
      <c r="AC25" s="527"/>
      <c r="AD25" s="527"/>
      <c r="AE25" s="527"/>
      <c r="AF25" s="527"/>
      <c r="AG25" s="527"/>
      <c r="AH25" s="527"/>
      <c r="AI25" s="527"/>
      <c r="AJ25" s="527"/>
      <c r="AK25" s="528"/>
      <c r="AL25" s="155"/>
      <c r="AM25" s="155"/>
      <c r="AN25" s="90"/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6"/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+E108</f>
        <v>384475</v>
      </c>
      <c r="AE27" s="170"/>
      <c r="AF27" s="201">
        <v>1977</v>
      </c>
      <c r="AG27" s="170"/>
      <c r="AH27" s="192">
        <f>+AD27/AD$31</f>
        <v>0.54680111216196037</v>
      </c>
      <c r="AI27" s="192"/>
      <c r="AJ27" s="170">
        <f>+AF27*AH27</f>
        <v>1081.0257987441958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+G108</f>
        <v>167426</v>
      </c>
      <c r="AE28" s="170"/>
      <c r="AF28" s="201">
        <v>1885</v>
      </c>
      <c r="AG28" s="170"/>
      <c r="AH28" s="192">
        <f>+AD28/AD$31</f>
        <v>0.23811359127336856</v>
      </c>
      <c r="AI28" s="192"/>
      <c r="AJ28" s="170">
        <f>+AF28*AH28</f>
        <v>448.84411955029975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+I108</f>
        <v>45349</v>
      </c>
      <c r="AE29" s="170"/>
      <c r="AF29" s="201">
        <v>1272</v>
      </c>
      <c r="AG29" s="170"/>
      <c r="AH29" s="192">
        <f>+AD29/AD$31</f>
        <v>6.4495438287099915E-2</v>
      </c>
      <c r="AI29" s="192"/>
      <c r="AJ29" s="170">
        <f>+AF29*AH29</f>
        <v>82.038197501191092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106</v>
      </c>
      <c r="AC30" s="282"/>
      <c r="AD30" s="170">
        <f>+AF17</f>
        <v>105885</v>
      </c>
      <c r="AE30" s="282"/>
      <c r="AF30" s="170">
        <f>+AH17</f>
        <v>1536</v>
      </c>
      <c r="AG30" s="282"/>
      <c r="AH30" s="192">
        <f>+AD30/AD$31</f>
        <v>0.15058985827757115</v>
      </c>
      <c r="AI30" s="282"/>
      <c r="AJ30" s="170">
        <f>+AF30*AH30</f>
        <v>231.30602231434929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703135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1843.2141381100359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21" t="s">
        <v>31</v>
      </c>
      <c r="AB36" s="522"/>
      <c r="AC36" s="522"/>
      <c r="AD36" s="522"/>
      <c r="AE36" s="522"/>
      <c r="AF36" s="522"/>
      <c r="AG36" s="522"/>
      <c r="AH36" s="522"/>
      <c r="AI36" s="523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92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477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6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  <c r="AD49" s="1">
        <f>+'Main Table'!Z103</f>
        <v>119129</v>
      </c>
      <c r="AJ49" s="56">
        <f>+AJ19</f>
        <v>61824</v>
      </c>
    </row>
    <row r="50" spans="3:36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D50" s="56">
        <f>+AJ19</f>
        <v>61824</v>
      </c>
      <c r="AF50" s="275"/>
    </row>
    <row r="51" spans="3:36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  <c r="AD51" s="56">
        <f>+AD49-AD50</f>
        <v>57305</v>
      </c>
    </row>
    <row r="52" spans="3:36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  <c r="AD53" s="1">
        <f>+AD51*AD52</f>
        <v>24068.1</v>
      </c>
    </row>
    <row r="54" spans="3:36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6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  <c r="AD55" s="56">
        <f>+AD51-AD53</f>
        <v>33236.9</v>
      </c>
    </row>
    <row r="56" spans="3:36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6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  <c r="AD57" s="275">
        <f>+AD55/AD49</f>
        <v>0.27899923612218691</v>
      </c>
    </row>
    <row r="58" spans="3:36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6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6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6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6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 t="shared" ref="Q62:Q97" si="11"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6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 t="shared" si="11"/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6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 t="shared" si="11"/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 t="shared" si="11"/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8">
        <f t="shared" si="11"/>
        <v>4103</v>
      </c>
      <c r="R66" s="6"/>
      <c r="S66" s="7">
        <f>27607+9946+3219</f>
        <v>40772</v>
      </c>
      <c r="T66" s="6"/>
      <c r="U66" s="288">
        <f t="shared" ref="U66:U97" si="14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8">
        <f t="shared" si="11"/>
        <v>5383</v>
      </c>
      <c r="R67" s="6"/>
      <c r="S67" s="7">
        <f>27607+9946+3219</f>
        <v>40772</v>
      </c>
      <c r="T67" s="6"/>
      <c r="U67" s="288">
        <f t="shared" si="14"/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8">
        <f t="shared" si="11"/>
        <v>3422</v>
      </c>
      <c r="R68" s="6"/>
      <c r="S68" s="7">
        <f>28049+10261+3339</f>
        <v>41649</v>
      </c>
      <c r="T68" s="6"/>
      <c r="U68" s="288">
        <f t="shared" si="14"/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8">
        <f t="shared" si="11"/>
        <v>4020</v>
      </c>
      <c r="R69" s="6"/>
      <c r="S69" s="7">
        <f>28232+10363+3408</f>
        <v>42003</v>
      </c>
      <c r="T69" s="6"/>
      <c r="U69" s="288">
        <f t="shared" si="14"/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8">
        <f t="shared" si="11"/>
        <v>3683</v>
      </c>
      <c r="R70" s="6"/>
      <c r="S70" s="7">
        <f>28339+10439+5862</f>
        <v>44640</v>
      </c>
      <c r="T70" s="6"/>
      <c r="U70" s="288">
        <f t="shared" si="14"/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8">
        <f t="shared" si="11"/>
        <v>2904</v>
      </c>
      <c r="R71" s="6"/>
      <c r="S71" s="7">
        <f>28558+10587+3472</f>
        <v>42617</v>
      </c>
      <c r="T71" s="6"/>
      <c r="U71" s="288">
        <f t="shared" si="14"/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8">
        <f t="shared" si="11"/>
        <v>3532</v>
      </c>
      <c r="R72" s="6"/>
      <c r="S72" s="7">
        <f>28636+10749+3529</f>
        <v>42914</v>
      </c>
      <c r="T72" s="6"/>
      <c r="U72" s="288">
        <f t="shared" si="14"/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8">
        <f t="shared" si="11"/>
        <v>3089</v>
      </c>
      <c r="R73" s="6"/>
      <c r="S73" s="7">
        <f>28743+10846+3583</f>
        <v>43172</v>
      </c>
      <c r="T73" s="6"/>
      <c r="U73" s="288">
        <f t="shared" si="14"/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8">
        <f t="shared" si="11"/>
        <v>3121</v>
      </c>
      <c r="R74" s="6"/>
      <c r="S74" s="7">
        <f>28853+10985+3637</f>
        <v>43475</v>
      </c>
      <c r="T74" s="6"/>
      <c r="U74" s="288">
        <f t="shared" si="14"/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8">
        <f t="shared" si="11"/>
        <v>2333</v>
      </c>
      <c r="R75" s="6"/>
      <c r="S75" s="7">
        <f>28926+11082+3637</f>
        <v>43645</v>
      </c>
      <c r="T75" s="6"/>
      <c r="U75" s="288">
        <f t="shared" si="14"/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>
        <v>361515</v>
      </c>
      <c r="F76" s="7"/>
      <c r="G76" s="7">
        <v>154154</v>
      </c>
      <c r="H76" s="7"/>
      <c r="I76" s="7">
        <v>40468</v>
      </c>
      <c r="J76" s="289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8">
        <f t="shared" si="11"/>
        <v>3431</v>
      </c>
      <c r="R76" s="6"/>
      <c r="S76" s="7">
        <f>29141+11138+3696</f>
        <v>43975</v>
      </c>
      <c r="T76" s="6"/>
      <c r="U76" s="288">
        <f t="shared" si="14"/>
        <v>7.9072242990486152E-2</v>
      </c>
      <c r="W76">
        <f t="shared" si="0"/>
        <v>66</v>
      </c>
    </row>
    <row r="77" spans="3:23" x14ac:dyDescent="0.3">
      <c r="C77" s="172">
        <f t="shared" si="1"/>
        <v>43976</v>
      </c>
      <c r="E77" s="286">
        <v>362764</v>
      </c>
      <c r="F77" s="7"/>
      <c r="G77" s="7">
        <v>155092</v>
      </c>
      <c r="H77" s="7"/>
      <c r="I77" s="7">
        <v>40873</v>
      </c>
      <c r="J77" s="289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8">
        <f t="shared" si="11"/>
        <v>2592</v>
      </c>
      <c r="R77" s="6"/>
      <c r="S77" s="7">
        <f>29229+11147+3742</f>
        <v>44118</v>
      </c>
      <c r="T77" s="6"/>
      <c r="U77" s="288">
        <f t="shared" si="14"/>
        <v>7.8961356936905008E-2</v>
      </c>
      <c r="W77">
        <f t="shared" si="0"/>
        <v>67</v>
      </c>
    </row>
    <row r="78" spans="3:23" x14ac:dyDescent="0.3">
      <c r="C78" s="172">
        <f t="shared" si="1"/>
        <v>43977</v>
      </c>
      <c r="E78" s="286">
        <v>363836</v>
      </c>
      <c r="F78" s="7"/>
      <c r="G78" s="7">
        <v>155764</v>
      </c>
      <c r="H78" s="7"/>
      <c r="I78" s="7">
        <v>41303</v>
      </c>
      <c r="J78" s="289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8">
        <f t="shared" si="11"/>
        <v>2174</v>
      </c>
      <c r="R78" s="6"/>
      <c r="S78" s="7">
        <f>29302+11194+3769</f>
        <v>44265</v>
      </c>
      <c r="T78" s="6"/>
      <c r="U78" s="288">
        <f t="shared" si="14"/>
        <v>7.8917388568076827E-2</v>
      </c>
      <c r="W78">
        <f t="shared" si="0"/>
        <v>68</v>
      </c>
    </row>
    <row r="79" spans="3:23" x14ac:dyDescent="0.3">
      <c r="C79" s="172">
        <f t="shared" si="1"/>
        <v>43978</v>
      </c>
      <c r="E79" s="286">
        <v>364965</v>
      </c>
      <c r="F79" s="7"/>
      <c r="G79" s="7">
        <v>156628</v>
      </c>
      <c r="H79" s="7"/>
      <c r="I79" s="7">
        <v>41288</v>
      </c>
      <c r="J79" s="289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8">
        <f t="shared" si="11"/>
        <v>1978</v>
      </c>
      <c r="R79" s="6"/>
      <c r="S79" s="7">
        <f>29484+11339+3803</f>
        <v>44626</v>
      </c>
      <c r="T79" s="6"/>
      <c r="U79" s="288">
        <f t="shared" si="14"/>
        <v>7.9281411168612897E-2</v>
      </c>
      <c r="W79">
        <f t="shared" si="0"/>
        <v>69</v>
      </c>
    </row>
    <row r="80" spans="3:23" x14ac:dyDescent="0.3">
      <c r="C80" s="172">
        <f t="shared" si="1"/>
        <v>43979</v>
      </c>
      <c r="E80" s="286">
        <v>366733</v>
      </c>
      <c r="F80" s="7"/>
      <c r="G80" s="7">
        <v>157185</v>
      </c>
      <c r="H80" s="7"/>
      <c r="I80" s="7">
        <v>41559</v>
      </c>
      <c r="J80" s="289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8">
        <f t="shared" si="11"/>
        <v>2596</v>
      </c>
      <c r="R80" s="6"/>
      <c r="S80" s="7">
        <f>29484+11339+3803</f>
        <v>44626</v>
      </c>
      <c r="T80" s="6"/>
      <c r="U80" s="288">
        <f t="shared" si="14"/>
        <v>7.8917444918184115E-2</v>
      </c>
      <c r="W80">
        <f t="shared" si="0"/>
        <v>70</v>
      </c>
    </row>
    <row r="81" spans="3:25" x14ac:dyDescent="0.3">
      <c r="C81" s="172">
        <f t="shared" si="1"/>
        <v>43980</v>
      </c>
      <c r="E81" s="286">
        <v>368284</v>
      </c>
      <c r="F81" s="7"/>
      <c r="G81" s="7">
        <v>158844</v>
      </c>
      <c r="H81" s="7"/>
      <c r="I81" s="7">
        <v>41762</v>
      </c>
      <c r="J81" s="289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8">
        <f t="shared" si="11"/>
        <v>3413</v>
      </c>
      <c r="R81" s="6"/>
      <c r="S81" s="7">
        <f>29646+11531+3868</f>
        <v>45045</v>
      </c>
      <c r="T81" s="6"/>
      <c r="U81" s="288">
        <f t="shared" si="14"/>
        <v>7.9180509413067549E-2</v>
      </c>
      <c r="W81">
        <f t="shared" si="0"/>
        <v>71</v>
      </c>
    </row>
    <row r="82" spans="3:25" x14ac:dyDescent="0.3">
      <c r="C82" s="172">
        <f t="shared" si="1"/>
        <v>43981</v>
      </c>
      <c r="E82" s="286">
        <v>369660</v>
      </c>
      <c r="F82" s="7"/>
      <c r="G82" s="7">
        <v>159608</v>
      </c>
      <c r="H82" s="7"/>
      <c r="I82" s="7">
        <v>42022</v>
      </c>
      <c r="J82" s="289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8">
        <f t="shared" si="11"/>
        <v>2400</v>
      </c>
      <c r="R82" s="6"/>
      <c r="S82" s="7">
        <f>29646+11531+3868</f>
        <v>45045</v>
      </c>
      <c r="T82" s="6"/>
      <c r="U82" s="288">
        <f t="shared" si="14"/>
        <v>7.8847870608622597E-2</v>
      </c>
      <c r="W82">
        <f t="shared" si="0"/>
        <v>72</v>
      </c>
    </row>
    <row r="83" spans="3:25" x14ac:dyDescent="0.3">
      <c r="C83" s="172">
        <f t="shared" si="1"/>
        <v>43982</v>
      </c>
      <c r="E83" s="286">
        <v>370770</v>
      </c>
      <c r="F83" s="7"/>
      <c r="G83" s="7">
        <v>160445</v>
      </c>
      <c r="H83" s="7"/>
      <c r="I83" s="7">
        <v>42201</v>
      </c>
      <c r="J83" s="289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8">
        <f t="shared" si="11"/>
        <v>2126</v>
      </c>
      <c r="R83" s="6"/>
      <c r="S83" s="7">
        <f>29784+11698+3944</f>
        <v>45426</v>
      </c>
      <c r="T83" s="6"/>
      <c r="U83" s="288">
        <f t="shared" si="14"/>
        <v>7.9219972934135074E-2</v>
      </c>
      <c r="W83">
        <f t="shared" si="0"/>
        <v>73</v>
      </c>
    </row>
    <row r="84" spans="3:25" x14ac:dyDescent="0.3">
      <c r="C84" s="172">
        <f t="shared" si="1"/>
        <v>43983</v>
      </c>
      <c r="E84" s="286">
        <v>371711</v>
      </c>
      <c r="F84" s="7"/>
      <c r="G84" s="7">
        <v>160918</v>
      </c>
      <c r="H84" s="7"/>
      <c r="I84" s="7">
        <v>42201</v>
      </c>
      <c r="J84" s="289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8">
        <f t="shared" si="11"/>
        <v>1414</v>
      </c>
      <c r="R84" s="6"/>
      <c r="S84" s="7">
        <f>29833+11723+3971</f>
        <v>45527</v>
      </c>
      <c r="T84" s="6"/>
      <c r="U84" s="288">
        <f t="shared" si="14"/>
        <v>7.9200807195170753E-2</v>
      </c>
      <c r="W84">
        <f t="shared" si="0"/>
        <v>74</v>
      </c>
    </row>
    <row r="85" spans="3:25" x14ac:dyDescent="0.3">
      <c r="C85" s="172">
        <f t="shared" si="1"/>
        <v>43984</v>
      </c>
      <c r="E85" s="286">
        <v>373040</v>
      </c>
      <c r="F85" s="7"/>
      <c r="G85" s="7">
        <v>161545</v>
      </c>
      <c r="H85" s="7"/>
      <c r="I85" s="7">
        <v>42979</v>
      </c>
      <c r="J85" s="289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8">
        <f t="shared" si="11"/>
        <v>2734</v>
      </c>
      <c r="R85" s="6"/>
      <c r="S85" s="7">
        <f>29968+11771+3972</f>
        <v>45711</v>
      </c>
      <c r="T85" s="6"/>
      <c r="U85" s="288">
        <f t="shared" si="14"/>
        <v>7.9144475763724881E-2</v>
      </c>
      <c r="W85">
        <f t="shared" si="0"/>
        <v>75</v>
      </c>
    </row>
    <row r="86" spans="3:25" x14ac:dyDescent="0.3">
      <c r="C86" s="172">
        <f t="shared" si="1"/>
        <v>43985</v>
      </c>
      <c r="E86" s="286">
        <v>374085</v>
      </c>
      <c r="F86" s="7"/>
      <c r="G86" s="7">
        <v>162068</v>
      </c>
      <c r="H86" s="7"/>
      <c r="I86" s="7">
        <v>43091</v>
      </c>
      <c r="J86" s="289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8">
        <f t="shared" si="11"/>
        <v>1680</v>
      </c>
      <c r="R86" s="6"/>
      <c r="S86" s="7">
        <f>30019+11880+3989</f>
        <v>45888</v>
      </c>
      <c r="T86" s="6"/>
      <c r="U86" s="288">
        <f t="shared" si="14"/>
        <v>7.9220501205018959E-2</v>
      </c>
      <c r="W86">
        <f t="shared" si="0"/>
        <v>76</v>
      </c>
    </row>
    <row r="87" spans="3:25" x14ac:dyDescent="0.3">
      <c r="C87" s="172">
        <f t="shared" si="1"/>
        <v>43986</v>
      </c>
      <c r="E87" s="286">
        <v>375133</v>
      </c>
      <c r="F87" s="7"/>
      <c r="G87" s="7">
        <v>162530</v>
      </c>
      <c r="H87" s="7"/>
      <c r="I87" s="7">
        <v>43239</v>
      </c>
      <c r="J87" s="289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8">
        <f t="shared" si="11"/>
        <v>1658</v>
      </c>
      <c r="R87" s="6"/>
      <c r="S87" s="7">
        <f>30090+11970+4007</f>
        <v>46067</v>
      </c>
      <c r="T87" s="6"/>
      <c r="U87" s="288">
        <f t="shared" si="14"/>
        <v>7.9302532957366306E-2</v>
      </c>
      <c r="W87">
        <f t="shared" si="0"/>
        <v>77</v>
      </c>
    </row>
    <row r="88" spans="3:25" x14ac:dyDescent="0.3">
      <c r="C88" s="172">
        <f t="shared" si="1"/>
        <v>43987</v>
      </c>
      <c r="E88" s="286">
        <v>376208</v>
      </c>
      <c r="F88" s="7"/>
      <c r="G88" s="7">
        <v>163336</v>
      </c>
      <c r="H88" s="7"/>
      <c r="I88" s="7">
        <v>43460</v>
      </c>
      <c r="J88" s="289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8">
        <f t="shared" si="11"/>
        <v>2102</v>
      </c>
      <c r="R88" s="6"/>
      <c r="S88" s="7">
        <f>30236+12049+4038</f>
        <v>46323</v>
      </c>
      <c r="T88" s="6"/>
      <c r="U88" s="288">
        <f t="shared" si="14"/>
        <v>7.9455715569704502E-2</v>
      </c>
      <c r="W88">
        <f t="shared" si="0"/>
        <v>78</v>
      </c>
    </row>
    <row r="89" spans="3:25" x14ac:dyDescent="0.3">
      <c r="C89" s="172">
        <f t="shared" si="1"/>
        <v>43988</v>
      </c>
      <c r="E89" s="286">
        <v>377316</v>
      </c>
      <c r="F89" s="7"/>
      <c r="G89" s="7">
        <v>163893</v>
      </c>
      <c r="H89" s="7"/>
      <c r="I89" s="7">
        <v>43818</v>
      </c>
      <c r="J89" s="289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8">
        <f t="shared" si="11"/>
        <v>2023</v>
      </c>
      <c r="R89" s="6"/>
      <c r="S89" s="7">
        <f>30280+12106+4055</f>
        <v>46441</v>
      </c>
      <c r="T89" s="6"/>
      <c r="U89" s="288">
        <f t="shared" si="14"/>
        <v>7.9382660971203042E-2</v>
      </c>
      <c r="W89">
        <f t="shared" si="0"/>
        <v>79</v>
      </c>
      <c r="X89" s="56"/>
    </row>
    <row r="90" spans="3:25" x14ac:dyDescent="0.3">
      <c r="C90" s="172">
        <f t="shared" si="1"/>
        <v>43989</v>
      </c>
      <c r="E90" s="286">
        <v>378097</v>
      </c>
      <c r="F90" s="7"/>
      <c r="G90" s="7">
        <v>164164</v>
      </c>
      <c r="H90" s="7"/>
      <c r="I90" s="7">
        <v>43968</v>
      </c>
      <c r="J90" s="289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8">
        <f t="shared" si="11"/>
        <v>1202</v>
      </c>
      <c r="R90" s="6"/>
      <c r="S90" s="7">
        <f>30374+12176+4071</f>
        <v>46621</v>
      </c>
      <c r="T90" s="6"/>
      <c r="U90" s="288">
        <f t="shared" si="14"/>
        <v>7.9526942542931175E-2</v>
      </c>
      <c r="W90">
        <f t="shared" si="0"/>
        <v>80</v>
      </c>
    </row>
    <row r="91" spans="3:25" x14ac:dyDescent="0.3">
      <c r="C91" s="172">
        <f t="shared" si="1"/>
        <v>43990</v>
      </c>
      <c r="E91" s="286">
        <v>378799</v>
      </c>
      <c r="F91" s="7"/>
      <c r="G91" s="7">
        <v>164497</v>
      </c>
      <c r="H91" s="7"/>
      <c r="I91" s="7">
        <v>44093</v>
      </c>
      <c r="J91" s="289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8">
        <f t="shared" si="11"/>
        <v>1160</v>
      </c>
      <c r="R91" s="6"/>
      <c r="S91" s="7">
        <f>30417+12214+4084</f>
        <v>46715</v>
      </c>
      <c r="T91" s="6"/>
      <c r="U91" s="288">
        <f t="shared" si="14"/>
        <v>7.952991969546587E-2</v>
      </c>
      <c r="W91">
        <f t="shared" si="0"/>
        <v>81</v>
      </c>
    </row>
    <row r="92" spans="3:25" x14ac:dyDescent="0.3">
      <c r="C92" s="172">
        <f t="shared" si="1"/>
        <v>43991</v>
      </c>
      <c r="E92" s="286">
        <v>379482</v>
      </c>
      <c r="F92" s="7"/>
      <c r="G92" s="7">
        <v>164796</v>
      </c>
      <c r="H92" s="7"/>
      <c r="I92" s="7">
        <v>44179</v>
      </c>
      <c r="J92" s="289"/>
      <c r="K92" s="7">
        <f t="shared" si="12"/>
        <v>588457</v>
      </c>
      <c r="L92" s="6"/>
      <c r="M92" s="477">
        <f t="shared" si="13"/>
        <v>1.8182158671680947E-3</v>
      </c>
      <c r="N92" s="29"/>
      <c r="O92" s="29"/>
      <c r="P92" s="29"/>
      <c r="Q92" s="378">
        <f t="shared" si="11"/>
        <v>1068</v>
      </c>
      <c r="R92" s="6"/>
      <c r="S92" s="7">
        <f>30458+12303+4097</f>
        <v>46858</v>
      </c>
      <c r="T92" s="6"/>
      <c r="U92" s="288">
        <f t="shared" si="14"/>
        <v>7.9628587985188376E-2</v>
      </c>
      <c r="W92">
        <f t="shared" si="0"/>
        <v>82</v>
      </c>
    </row>
    <row r="93" spans="3:25" x14ac:dyDescent="0.3">
      <c r="C93" s="172">
        <f t="shared" si="1"/>
        <v>43992</v>
      </c>
      <c r="E93" s="286">
        <v>380156</v>
      </c>
      <c r="F93" s="7"/>
      <c r="G93" s="7">
        <v>165346</v>
      </c>
      <c r="H93" s="7"/>
      <c r="I93" s="7">
        <v>44347</v>
      </c>
      <c r="J93" s="289"/>
      <c r="K93" s="7">
        <f t="shared" si="12"/>
        <v>589849</v>
      </c>
      <c r="L93" s="6"/>
      <c r="M93" s="477">
        <f t="shared" si="13"/>
        <v>2.3655084398690133E-3</v>
      </c>
      <c r="N93" s="29"/>
      <c r="O93" s="29"/>
      <c r="P93" s="29"/>
      <c r="Q93" s="378">
        <f t="shared" si="11"/>
        <v>1392</v>
      </c>
      <c r="R93" s="6"/>
      <c r="S93" s="7">
        <f>30458+12303+4097</f>
        <v>46858</v>
      </c>
      <c r="T93" s="6"/>
      <c r="U93" s="288">
        <f t="shared" si="14"/>
        <v>7.9440670408867348E-2</v>
      </c>
      <c r="W93">
        <f t="shared" si="0"/>
        <v>83</v>
      </c>
    </row>
    <row r="94" spans="3:25" x14ac:dyDescent="0.3">
      <c r="C94" s="172">
        <f t="shared" si="1"/>
        <v>43993</v>
      </c>
      <c r="E94" s="286">
        <v>380892</v>
      </c>
      <c r="F94" s="7"/>
      <c r="G94" s="7">
        <v>165816</v>
      </c>
      <c r="H94" s="7"/>
      <c r="I94" s="7">
        <v>44461</v>
      </c>
      <c r="J94" s="289"/>
      <c r="K94" s="7">
        <f t="shared" si="12"/>
        <v>591169</v>
      </c>
      <c r="L94" s="6"/>
      <c r="M94" s="477">
        <f t="shared" si="13"/>
        <v>2.237860876258161E-3</v>
      </c>
      <c r="N94" s="29"/>
      <c r="O94" s="29"/>
      <c r="P94" s="29"/>
      <c r="Q94" s="378">
        <f t="shared" si="11"/>
        <v>1320</v>
      </c>
      <c r="R94" s="6"/>
      <c r="S94" s="7">
        <f>30575+12443+4148</f>
        <v>47166</v>
      </c>
      <c r="T94" s="6"/>
      <c r="U94" s="288">
        <f t="shared" si="14"/>
        <v>7.9784291801498389E-2</v>
      </c>
      <c r="W94">
        <f t="shared" si="0"/>
        <v>84</v>
      </c>
    </row>
    <row r="95" spans="3:25" x14ac:dyDescent="0.3">
      <c r="C95" s="172">
        <f t="shared" si="1"/>
        <v>43994</v>
      </c>
      <c r="E95" s="286">
        <v>381714</v>
      </c>
      <c r="F95" s="7"/>
      <c r="G95" s="7">
        <v>166164</v>
      </c>
      <c r="H95" s="7"/>
      <c r="I95" s="7">
        <v>44689</v>
      </c>
      <c r="J95" s="289"/>
      <c r="K95" s="7">
        <f t="shared" si="12"/>
        <v>592567</v>
      </c>
      <c r="L95" s="6"/>
      <c r="M95" s="477">
        <f t="shared" si="13"/>
        <v>2.3648060030211325E-3</v>
      </c>
      <c r="N95" s="29"/>
      <c r="O95" s="29"/>
      <c r="P95" s="29"/>
      <c r="Q95" s="378">
        <f t="shared" si="11"/>
        <v>1398</v>
      </c>
      <c r="R95" s="6"/>
      <c r="S95" s="7">
        <f>30758+12489+4159</f>
        <v>47406</v>
      </c>
      <c r="T95" s="6"/>
      <c r="U95" s="288">
        <f t="shared" si="14"/>
        <v>8.000108004664451E-2</v>
      </c>
      <c r="W95">
        <f t="shared" si="0"/>
        <v>85</v>
      </c>
    </row>
    <row r="96" spans="3:25" x14ac:dyDescent="0.3">
      <c r="C96" s="172">
        <f t="shared" si="1"/>
        <v>43995</v>
      </c>
      <c r="E96" s="286">
        <v>382630</v>
      </c>
      <c r="F96" s="7"/>
      <c r="G96" s="7">
        <v>166605</v>
      </c>
      <c r="H96" s="7"/>
      <c r="I96" s="7">
        <v>44994</v>
      </c>
      <c r="J96" s="289"/>
      <c r="K96" s="7">
        <f t="shared" si="12"/>
        <v>594229</v>
      </c>
      <c r="L96" s="6"/>
      <c r="M96" s="477">
        <f t="shared" si="13"/>
        <v>2.804746129973488E-3</v>
      </c>
      <c r="N96" s="29"/>
      <c r="O96" s="29"/>
      <c r="P96" s="29"/>
      <c r="Q96" s="378">
        <f t="shared" si="11"/>
        <v>1662</v>
      </c>
      <c r="R96" s="6"/>
      <c r="S96" s="7">
        <f>30795+12621+4186</f>
        <v>47602</v>
      </c>
      <c r="T96" s="6"/>
      <c r="U96" s="288">
        <f t="shared" si="14"/>
        <v>8.010716407310986E-2</v>
      </c>
      <c r="W96">
        <f t="shared" si="0"/>
        <v>86</v>
      </c>
      <c r="Y96" s="56"/>
    </row>
    <row r="97" spans="3:25" x14ac:dyDescent="0.3">
      <c r="C97" s="172">
        <f t="shared" si="1"/>
        <v>43996</v>
      </c>
      <c r="E97" s="286">
        <v>383324</v>
      </c>
      <c r="F97" s="7"/>
      <c r="G97" s="7">
        <v>166881</v>
      </c>
      <c r="H97" s="7"/>
      <c r="I97" s="7">
        <v>45088</v>
      </c>
      <c r="J97" s="289"/>
      <c r="K97" s="7">
        <f t="shared" si="12"/>
        <v>595293</v>
      </c>
      <c r="L97" s="6"/>
      <c r="M97" s="477">
        <f t="shared" si="13"/>
        <v>1.7905554929160308E-3</v>
      </c>
      <c r="N97" s="29"/>
      <c r="O97" s="29"/>
      <c r="P97" s="29"/>
      <c r="Q97" s="378">
        <f t="shared" si="11"/>
        <v>1064</v>
      </c>
      <c r="R97" s="6"/>
      <c r="S97" s="7">
        <f>30825+12659+4201</f>
        <v>47685</v>
      </c>
      <c r="T97" s="6"/>
      <c r="U97" s="288">
        <f t="shared" si="14"/>
        <v>8.010341126134525E-2</v>
      </c>
      <c r="W97">
        <f t="shared" si="0"/>
        <v>87</v>
      </c>
      <c r="Y97" s="56"/>
    </row>
    <row r="98" spans="3:25" x14ac:dyDescent="0.3">
      <c r="C98" s="172">
        <f t="shared" ref="C98:C106" si="15">+C97+1</f>
        <v>43997</v>
      </c>
      <c r="E98" s="286">
        <v>383944</v>
      </c>
      <c r="F98" s="7"/>
      <c r="G98" s="7">
        <v>167106</v>
      </c>
      <c r="H98" s="7"/>
      <c r="I98" s="7">
        <v>45235</v>
      </c>
      <c r="J98" s="289"/>
      <c r="K98" s="7">
        <f t="shared" ref="K98" si="16">SUM(E98:I98)</f>
        <v>596285</v>
      </c>
      <c r="L98" s="6"/>
      <c r="M98" s="477">
        <f t="shared" ref="M98" si="17">+(K98-K97)/K97</f>
        <v>1.6664062906837473E-3</v>
      </c>
      <c r="N98" s="29"/>
      <c r="O98" s="29"/>
      <c r="P98" s="29"/>
      <c r="Q98" s="378">
        <f t="shared" ref="Q98" si="18">+K98-K97</f>
        <v>992</v>
      </c>
      <c r="R98" s="6"/>
      <c r="S98" s="7">
        <f>30856+12708+4204</f>
        <v>47768</v>
      </c>
      <c r="T98" s="6"/>
      <c r="U98" s="288">
        <f t="shared" ref="U98" si="19">+S98/K98</f>
        <v>8.0109343686324497E-2</v>
      </c>
      <c r="W98">
        <f t="shared" ref="W98:W106" si="20">+W97+1</f>
        <v>88</v>
      </c>
      <c r="Y98" s="56"/>
    </row>
    <row r="99" spans="3:25" x14ac:dyDescent="0.3">
      <c r="C99" s="172">
        <f t="shared" si="15"/>
        <v>43998</v>
      </c>
      <c r="E99" s="286">
        <v>384475</v>
      </c>
      <c r="F99" s="7"/>
      <c r="G99" s="7">
        <v>167426</v>
      </c>
      <c r="H99" s="7"/>
      <c r="I99" s="7">
        <v>45349</v>
      </c>
      <c r="J99" s="289"/>
      <c r="K99" s="7">
        <f t="shared" ref="K99" si="21">SUM(E99:I99)</f>
        <v>597250</v>
      </c>
      <c r="L99" s="6"/>
      <c r="M99" s="477">
        <f t="shared" ref="M99" si="22">+(K99-K98)/K98</f>
        <v>1.6183536396186388E-3</v>
      </c>
      <c r="N99" s="29"/>
      <c r="O99" s="29"/>
      <c r="P99" s="29"/>
      <c r="Q99" s="378">
        <f t="shared" ref="Q99" si="23">+K99-K98</f>
        <v>965</v>
      </c>
      <c r="R99" s="6"/>
      <c r="S99" s="7">
        <f>30882+12792+4210</f>
        <v>47884</v>
      </c>
      <c r="T99" s="6"/>
      <c r="U99" s="288">
        <f t="shared" ref="U99" si="24">+S99/K99</f>
        <v>8.017413143574717E-2</v>
      </c>
      <c r="W99">
        <f t="shared" si="20"/>
        <v>89</v>
      </c>
      <c r="Y99" s="56"/>
    </row>
    <row r="100" spans="3:25" x14ac:dyDescent="0.3">
      <c r="C100" s="172">
        <f t="shared" si="15"/>
        <v>43999</v>
      </c>
      <c r="E100" s="286"/>
      <c r="F100" s="7"/>
      <c r="G100" s="7"/>
      <c r="H100" s="7"/>
      <c r="I100" s="7"/>
      <c r="J100" s="289"/>
      <c r="K100" s="7"/>
      <c r="L100" s="6"/>
      <c r="M100" s="477"/>
      <c r="N100" s="29"/>
      <c r="O100" s="29"/>
      <c r="P100" s="29"/>
      <c r="Q100" s="378"/>
      <c r="R100" s="6"/>
      <c r="S100" s="7"/>
      <c r="T100" s="6"/>
      <c r="U100" s="288"/>
      <c r="W100">
        <f t="shared" si="20"/>
        <v>90</v>
      </c>
      <c r="Y100" s="56"/>
    </row>
    <row r="101" spans="3:25" x14ac:dyDescent="0.3">
      <c r="C101" s="172">
        <f t="shared" si="15"/>
        <v>44000</v>
      </c>
      <c r="E101" s="286"/>
      <c r="F101" s="7"/>
      <c r="G101" s="7"/>
      <c r="H101" s="7"/>
      <c r="I101" s="7"/>
      <c r="J101" s="289"/>
      <c r="K101" s="7"/>
      <c r="L101" s="6"/>
      <c r="M101" s="477"/>
      <c r="N101" s="29"/>
      <c r="O101" s="29"/>
      <c r="P101" s="29"/>
      <c r="Q101" s="378"/>
      <c r="R101" s="6"/>
      <c r="S101" s="7"/>
      <c r="T101" s="6"/>
      <c r="U101" s="288"/>
      <c r="W101">
        <f t="shared" si="20"/>
        <v>91</v>
      </c>
      <c r="Y101" s="56"/>
    </row>
    <row r="102" spans="3:25" x14ac:dyDescent="0.3">
      <c r="C102" s="172">
        <f t="shared" si="15"/>
        <v>44001</v>
      </c>
      <c r="E102" s="286"/>
      <c r="F102" s="7"/>
      <c r="G102" s="7"/>
      <c r="H102" s="7"/>
      <c r="I102" s="7"/>
      <c r="J102" s="289"/>
      <c r="K102" s="7"/>
      <c r="L102" s="6"/>
      <c r="M102" s="477"/>
      <c r="N102" s="29"/>
      <c r="O102" s="29"/>
      <c r="P102" s="29"/>
      <c r="Q102" s="378"/>
      <c r="R102" s="6"/>
      <c r="S102" s="7"/>
      <c r="T102" s="6"/>
      <c r="U102" s="288"/>
      <c r="W102">
        <f t="shared" si="20"/>
        <v>92</v>
      </c>
      <c r="Y102" s="56"/>
    </row>
    <row r="103" spans="3:25" x14ac:dyDescent="0.3">
      <c r="C103" s="172">
        <f t="shared" si="15"/>
        <v>44002</v>
      </c>
      <c r="E103" s="286"/>
      <c r="F103" s="7"/>
      <c r="G103" s="7"/>
      <c r="H103" s="7"/>
      <c r="I103" s="7"/>
      <c r="J103" s="289"/>
      <c r="K103" s="7"/>
      <c r="L103" s="6"/>
      <c r="M103" s="477"/>
      <c r="N103" s="29"/>
      <c r="O103" s="29"/>
      <c r="P103" s="29"/>
      <c r="Q103" s="378"/>
      <c r="R103" s="6"/>
      <c r="S103" s="7"/>
      <c r="T103" s="6"/>
      <c r="U103" s="288"/>
      <c r="W103">
        <f t="shared" si="20"/>
        <v>93</v>
      </c>
      <c r="Y103" s="56"/>
    </row>
    <row r="104" spans="3:25" x14ac:dyDescent="0.3">
      <c r="C104" s="172">
        <f t="shared" si="15"/>
        <v>44003</v>
      </c>
      <c r="E104" s="286"/>
      <c r="F104" s="7"/>
      <c r="G104" s="7"/>
      <c r="H104" s="7"/>
      <c r="I104" s="7"/>
      <c r="J104" s="289"/>
      <c r="K104" s="7"/>
      <c r="L104" s="6"/>
      <c r="M104" s="477"/>
      <c r="N104" s="29"/>
      <c r="O104" s="29"/>
      <c r="P104" s="29"/>
      <c r="Q104" s="378"/>
      <c r="R104" s="6"/>
      <c r="S104" s="7"/>
      <c r="T104" s="6"/>
      <c r="U104" s="288"/>
      <c r="W104">
        <f t="shared" si="20"/>
        <v>94</v>
      </c>
      <c r="Y104" s="56"/>
    </row>
    <row r="105" spans="3:25" x14ac:dyDescent="0.3">
      <c r="C105" s="172">
        <f t="shared" si="15"/>
        <v>44004</v>
      </c>
      <c r="E105" s="286"/>
      <c r="F105" s="7"/>
      <c r="G105" s="7"/>
      <c r="H105" s="7"/>
      <c r="I105" s="7"/>
      <c r="J105" s="289"/>
      <c r="K105" s="7"/>
      <c r="L105" s="6"/>
      <c r="M105" s="477"/>
      <c r="N105" s="29"/>
      <c r="O105" s="29"/>
      <c r="P105" s="29"/>
      <c r="Q105" s="378"/>
      <c r="R105" s="6"/>
      <c r="S105" s="7"/>
      <c r="T105" s="6"/>
      <c r="U105" s="288"/>
      <c r="W105">
        <f t="shared" si="20"/>
        <v>95</v>
      </c>
      <c r="Y105" s="56"/>
    </row>
    <row r="106" spans="3:25" ht="15" thickBot="1" x14ac:dyDescent="0.35">
      <c r="C106" s="172">
        <f t="shared" si="15"/>
        <v>44005</v>
      </c>
      <c r="E106" s="290"/>
      <c r="F106" s="291"/>
      <c r="G106" s="291"/>
      <c r="H106" s="291"/>
      <c r="I106" s="291"/>
      <c r="J106" s="291"/>
      <c r="K106" s="291"/>
      <c r="L106" s="292"/>
      <c r="M106" s="293"/>
      <c r="N106" s="293"/>
      <c r="O106" s="293"/>
      <c r="P106" s="293"/>
      <c r="Q106" s="377"/>
      <c r="R106" s="292"/>
      <c r="S106" s="292"/>
      <c r="T106" s="292"/>
      <c r="U106" s="294"/>
      <c r="W106">
        <f t="shared" si="20"/>
        <v>96</v>
      </c>
      <c r="Y106" s="59"/>
    </row>
    <row r="107" spans="3:25" x14ac:dyDescent="0.3">
      <c r="E107" s="56"/>
      <c r="F107" s="1"/>
      <c r="G107" s="56"/>
      <c r="H107" s="56"/>
      <c r="I107" s="56"/>
      <c r="J107" s="1"/>
      <c r="K107" s="56"/>
      <c r="S107" s="56"/>
    </row>
    <row r="108" spans="3:25" x14ac:dyDescent="0.3">
      <c r="C108" s="181" t="s">
        <v>82</v>
      </c>
      <c r="E108" s="56">
        <f>+E99</f>
        <v>384475</v>
      </c>
      <c r="F108" s="56">
        <f>+F52</f>
        <v>0</v>
      </c>
      <c r="G108" s="56">
        <f t="shared" ref="G108:S108" si="25">+G99</f>
        <v>167426</v>
      </c>
      <c r="H108" s="56">
        <f t="shared" si="25"/>
        <v>0</v>
      </c>
      <c r="I108" s="56">
        <f t="shared" si="25"/>
        <v>45349</v>
      </c>
      <c r="J108" s="56">
        <f t="shared" si="25"/>
        <v>0</v>
      </c>
      <c r="K108" s="56">
        <f t="shared" si="25"/>
        <v>597250</v>
      </c>
      <c r="L108" s="56">
        <f t="shared" si="25"/>
        <v>0</v>
      </c>
      <c r="M108" s="56">
        <f t="shared" si="25"/>
        <v>1.6183536396186388E-3</v>
      </c>
      <c r="N108" s="56">
        <f t="shared" si="25"/>
        <v>0</v>
      </c>
      <c r="O108" s="56">
        <f t="shared" si="25"/>
        <v>0</v>
      </c>
      <c r="P108" s="56">
        <f t="shared" si="25"/>
        <v>0</v>
      </c>
      <c r="Q108" s="56">
        <f t="shared" si="25"/>
        <v>965</v>
      </c>
      <c r="R108" s="56">
        <f t="shared" si="25"/>
        <v>0</v>
      </c>
      <c r="S108" s="56">
        <f t="shared" si="25"/>
        <v>47884</v>
      </c>
      <c r="T108" s="56">
        <f>+T60</f>
        <v>0</v>
      </c>
    </row>
    <row r="109" spans="3:25" x14ac:dyDescent="0.3">
      <c r="E109" s="56"/>
      <c r="G109" s="56"/>
      <c r="H109" s="56"/>
      <c r="I109" s="56"/>
      <c r="J109" s="56"/>
      <c r="K109" s="56"/>
      <c r="L109" s="56"/>
      <c r="M109" s="59"/>
      <c r="N109" s="56"/>
      <c r="O109" s="56"/>
      <c r="P109" s="56"/>
      <c r="Q109" s="56"/>
      <c r="R109" s="56"/>
      <c r="S109" s="56"/>
    </row>
    <row r="110" spans="3:25" x14ac:dyDescent="0.3">
      <c r="E110" s="59"/>
      <c r="K110" s="1"/>
    </row>
    <row r="111" spans="3:25" x14ac:dyDescent="0.3">
      <c r="C111" s="123"/>
      <c r="D111" s="124"/>
      <c r="E111" s="395"/>
      <c r="F111" s="10"/>
      <c r="G111" s="10"/>
      <c r="H111" s="10"/>
      <c r="I111" s="61"/>
      <c r="J111" s="10"/>
      <c r="K111" s="10"/>
      <c r="L111" s="10"/>
      <c r="M111" s="10"/>
      <c r="N111" s="10"/>
      <c r="O111" s="10"/>
      <c r="P111" s="10"/>
      <c r="Q111" s="395"/>
      <c r="R111" s="10"/>
      <c r="S111" s="10"/>
    </row>
    <row r="112" spans="3:25" x14ac:dyDescent="0.3">
      <c r="E112" s="56"/>
      <c r="K112" s="56"/>
      <c r="Q112" s="56"/>
    </row>
    <row r="113" spans="3:41" x14ac:dyDescent="0.3">
      <c r="Q113" s="56"/>
      <c r="S113" s="59"/>
    </row>
    <row r="116" spans="3:41" x14ac:dyDescent="0.3">
      <c r="AO116" s="1">
        <v>3797000</v>
      </c>
    </row>
    <row r="117" spans="3:41" x14ac:dyDescent="0.3">
      <c r="C117" s="1"/>
    </row>
    <row r="118" spans="3:41" x14ac:dyDescent="0.3">
      <c r="C118" s="1"/>
      <c r="AO118" s="1">
        <v>30000</v>
      </c>
    </row>
    <row r="119" spans="3:41" x14ac:dyDescent="0.3">
      <c r="C119" s="59"/>
    </row>
    <row r="120" spans="3:41" x14ac:dyDescent="0.3">
      <c r="AO120" s="279">
        <f>+AO118/AO116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16" workbookViewId="0">
      <selection activeCell="Q43" sqref="Q4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60" t="s">
        <v>5</v>
      </c>
      <c r="C1" s="260"/>
      <c r="D1" s="260"/>
    </row>
    <row r="2" spans="2:29" ht="16.2" thickBot="1" x14ac:dyDescent="0.35">
      <c r="B2" s="260" t="s">
        <v>6</v>
      </c>
      <c r="C2" s="260"/>
      <c r="D2" s="260"/>
    </row>
    <row r="3" spans="2:29" ht="16.2" thickBot="1" x14ac:dyDescent="0.35">
      <c r="B3" s="258" t="s">
        <v>13</v>
      </c>
      <c r="C3" s="258"/>
      <c r="D3" s="168"/>
      <c r="S3" s="542" t="s">
        <v>115</v>
      </c>
      <c r="T3" s="543"/>
      <c r="U3" s="543"/>
      <c r="V3" s="543"/>
      <c r="W3" s="543"/>
      <c r="X3" s="543"/>
      <c r="Y3" s="543"/>
      <c r="Z3" s="543"/>
      <c r="AA3" s="543"/>
      <c r="AB3" s="543"/>
      <c r="AC3" s="544"/>
    </row>
    <row r="4" spans="2:29" ht="15.6" x14ac:dyDescent="0.3">
      <c r="B4" s="258"/>
      <c r="C4" s="258"/>
      <c r="D4" s="168"/>
      <c r="S4" s="295"/>
      <c r="T4" s="482" t="s">
        <v>79</v>
      </c>
      <c r="U4" s="6"/>
      <c r="V4" s="482" t="s">
        <v>107</v>
      </c>
      <c r="W4" s="5"/>
      <c r="X4" s="482" t="s">
        <v>108</v>
      </c>
      <c r="Y4" s="5"/>
      <c r="Z4" s="482" t="s">
        <v>74</v>
      </c>
      <c r="AA4" s="6"/>
      <c r="AB4" s="296" t="s">
        <v>15</v>
      </c>
      <c r="AC4" s="297"/>
    </row>
    <row r="5" spans="2:29" ht="15.6" x14ac:dyDescent="0.3">
      <c r="B5" s="258"/>
      <c r="C5" t="s">
        <v>93</v>
      </c>
      <c r="D5" s="168"/>
      <c r="E5" t="s">
        <v>94</v>
      </c>
      <c r="S5" s="295"/>
      <c r="T5" s="6"/>
      <c r="U5" s="6"/>
      <c r="V5" s="6"/>
      <c r="W5" s="6"/>
      <c r="X5" s="6"/>
      <c r="Y5" s="6"/>
      <c r="Z5" s="6"/>
      <c r="AA5" s="6"/>
      <c r="AB5" s="6"/>
      <c r="AC5" s="297"/>
    </row>
    <row r="6" spans="2:29" ht="15.6" x14ac:dyDescent="0.3">
      <c r="B6" s="258"/>
      <c r="C6" s="258"/>
      <c r="D6" s="171"/>
      <c r="E6" t="s">
        <v>95</v>
      </c>
      <c r="F6" t="s">
        <v>112</v>
      </c>
      <c r="S6" s="295"/>
      <c r="T6" s="298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7"/>
    </row>
    <row r="7" spans="2:29" ht="15.6" x14ac:dyDescent="0.3">
      <c r="B7" s="258"/>
      <c r="C7" s="258"/>
      <c r="D7" s="171"/>
      <c r="E7" t="s">
        <v>96</v>
      </c>
      <c r="F7" t="s">
        <v>98</v>
      </c>
      <c r="S7" s="295"/>
      <c r="T7" s="298">
        <f>+T6+1</f>
        <v>43952</v>
      </c>
      <c r="U7" s="6"/>
      <c r="V7" s="7">
        <v>432831</v>
      </c>
      <c r="W7" s="6"/>
      <c r="X7" s="44">
        <v>0.38300000000000001</v>
      </c>
      <c r="Y7" s="6"/>
      <c r="Z7" s="300">
        <f t="shared" ref="Z7:Z19" si="0">+V6-V7</f>
        <v>-5097</v>
      </c>
      <c r="AA7" s="6"/>
      <c r="AB7" s="6"/>
      <c r="AC7" s="297"/>
    </row>
    <row r="8" spans="2:29" ht="15.6" x14ac:dyDescent="0.3">
      <c r="B8" s="258"/>
      <c r="C8" s="258"/>
      <c r="D8" s="171"/>
      <c r="E8" t="s">
        <v>97</v>
      </c>
      <c r="F8" t="s">
        <v>113</v>
      </c>
      <c r="S8" s="295"/>
      <c r="T8" s="298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300">
        <f t="shared" si="0"/>
        <v>-681</v>
      </c>
      <c r="AA8" s="6"/>
      <c r="AB8" s="6"/>
      <c r="AC8" s="297"/>
    </row>
    <row r="9" spans="2:29" ht="15.6" x14ac:dyDescent="0.3">
      <c r="B9" s="258"/>
      <c r="C9" s="258"/>
      <c r="D9" s="171"/>
      <c r="R9" s="475"/>
      <c r="S9" s="295"/>
      <c r="T9" s="298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300">
        <f t="shared" si="0"/>
        <v>-833</v>
      </c>
      <c r="AA9" s="6"/>
      <c r="AB9" s="6"/>
      <c r="AC9" s="297"/>
    </row>
    <row r="10" spans="2:29" ht="15.6" x14ac:dyDescent="0.3">
      <c r="B10" s="258"/>
      <c r="C10" s="280" t="s">
        <v>99</v>
      </c>
      <c r="D10" s="171"/>
      <c r="E10" t="s">
        <v>102</v>
      </c>
      <c r="S10" s="295"/>
      <c r="T10" s="298">
        <f t="shared" si="1"/>
        <v>43955</v>
      </c>
      <c r="U10" s="6"/>
      <c r="V10" s="7">
        <v>458962</v>
      </c>
      <c r="W10" s="6"/>
      <c r="X10" s="44">
        <v>0.378</v>
      </c>
      <c r="Y10" s="6"/>
      <c r="Z10" s="300">
        <f t="shared" si="0"/>
        <v>-24617</v>
      </c>
      <c r="AA10" s="6"/>
      <c r="AB10" s="6"/>
      <c r="AC10" s="297"/>
    </row>
    <row r="11" spans="2:29" ht="15.6" x14ac:dyDescent="0.3">
      <c r="B11" s="258"/>
      <c r="C11" s="258"/>
      <c r="D11" s="171"/>
      <c r="E11" t="s">
        <v>95</v>
      </c>
      <c r="F11" t="s">
        <v>100</v>
      </c>
      <c r="S11" s="295"/>
      <c r="T11" s="298">
        <f t="shared" si="1"/>
        <v>43956</v>
      </c>
      <c r="U11" s="6"/>
      <c r="V11" s="299">
        <v>455743</v>
      </c>
      <c r="W11" s="6"/>
      <c r="X11" s="44">
        <v>0.36799999999999999</v>
      </c>
      <c r="Y11" s="6"/>
      <c r="Z11" s="300">
        <f t="shared" si="0"/>
        <v>3219</v>
      </c>
      <c r="AA11" s="6"/>
      <c r="AB11" s="304"/>
      <c r="AC11" s="297"/>
    </row>
    <row r="12" spans="2:29" ht="15.6" x14ac:dyDescent="0.3">
      <c r="B12" s="258"/>
      <c r="C12" s="258"/>
      <c r="D12" s="171"/>
      <c r="E12" t="s">
        <v>96</v>
      </c>
      <c r="F12" t="s">
        <v>101</v>
      </c>
      <c r="S12" s="295"/>
      <c r="T12" s="298">
        <f t="shared" si="1"/>
        <v>43957</v>
      </c>
      <c r="U12" s="6"/>
      <c r="V12" s="299">
        <v>454697</v>
      </c>
      <c r="W12" s="6"/>
      <c r="X12" s="44">
        <f>+L$36</f>
        <v>0.13873557451078775</v>
      </c>
      <c r="Y12" s="6"/>
      <c r="Z12" s="300">
        <f t="shared" si="0"/>
        <v>1046</v>
      </c>
      <c r="AA12" s="6"/>
      <c r="AB12" s="304"/>
      <c r="AC12" s="297"/>
    </row>
    <row r="13" spans="2:29" ht="15.6" x14ac:dyDescent="0.3">
      <c r="B13" s="258"/>
      <c r="C13" s="258"/>
      <c r="D13" s="171"/>
      <c r="S13" s="295"/>
      <c r="T13" s="298">
        <f t="shared" si="1"/>
        <v>43958</v>
      </c>
      <c r="U13" s="6"/>
      <c r="V13" s="299">
        <v>454838</v>
      </c>
      <c r="W13" s="6"/>
      <c r="X13" s="44">
        <f>+L37</f>
        <v>0</v>
      </c>
      <c r="Y13" s="6"/>
      <c r="Z13" s="300">
        <f t="shared" si="0"/>
        <v>-141</v>
      </c>
      <c r="AA13" s="6"/>
      <c r="AB13" s="304"/>
      <c r="AC13" s="297"/>
    </row>
    <row r="14" spans="2:29" ht="15.6" x14ac:dyDescent="0.3">
      <c r="B14" s="258"/>
      <c r="C14" s="280" t="s">
        <v>103</v>
      </c>
      <c r="D14" s="171"/>
      <c r="E14" t="s">
        <v>104</v>
      </c>
      <c r="S14" s="295"/>
      <c r="T14" s="298">
        <f t="shared" si="1"/>
        <v>43959</v>
      </c>
      <c r="U14" s="6"/>
      <c r="V14" s="299">
        <v>452043</v>
      </c>
      <c r="W14" s="6"/>
      <c r="X14" s="44">
        <f>+L38</f>
        <v>0</v>
      </c>
      <c r="Y14" s="6"/>
      <c r="Z14" s="300">
        <f t="shared" si="0"/>
        <v>2795</v>
      </c>
      <c r="AA14" s="6"/>
      <c r="AB14" s="304"/>
      <c r="AC14" s="297"/>
    </row>
    <row r="15" spans="2:29" x14ac:dyDescent="0.3">
      <c r="B15" s="258"/>
      <c r="E15" s="545" t="s">
        <v>105</v>
      </c>
      <c r="F15" s="545"/>
      <c r="G15" s="545"/>
      <c r="H15" s="545"/>
      <c r="I15" s="545"/>
      <c r="S15" s="295"/>
      <c r="T15" s="298">
        <f t="shared" si="1"/>
        <v>43960</v>
      </c>
      <c r="U15" s="6"/>
      <c r="V15" s="299">
        <v>439209</v>
      </c>
      <c r="W15" s="6"/>
      <c r="X15" s="44">
        <f>+L40</f>
        <v>0</v>
      </c>
      <c r="Y15" s="6"/>
      <c r="Z15" s="300">
        <f t="shared" si="0"/>
        <v>12834</v>
      </c>
      <c r="AA15" s="6"/>
      <c r="AB15" s="304"/>
      <c r="AC15" s="297"/>
    </row>
    <row r="16" spans="2:29" x14ac:dyDescent="0.3">
      <c r="R16" s="475"/>
      <c r="S16" s="295"/>
      <c r="T16" s="298">
        <f t="shared" si="1"/>
        <v>43961</v>
      </c>
      <c r="U16" s="6"/>
      <c r="V16" s="299">
        <v>423501</v>
      </c>
      <c r="W16" s="6"/>
      <c r="X16" s="44">
        <f>+L41</f>
        <v>0</v>
      </c>
      <c r="Y16" s="6"/>
      <c r="Z16" s="300">
        <f t="shared" si="0"/>
        <v>15708</v>
      </c>
      <c r="AA16" s="6"/>
      <c r="AB16" s="304"/>
      <c r="AC16" s="297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5"/>
      <c r="T17" s="298">
        <f t="shared" si="1"/>
        <v>43962</v>
      </c>
      <c r="U17" s="6"/>
      <c r="V17" s="299">
        <v>415158</v>
      </c>
      <c r="W17" s="6"/>
      <c r="X17" s="44">
        <f>+L42</f>
        <v>0</v>
      </c>
      <c r="Y17" s="6"/>
      <c r="Z17" s="300">
        <f t="shared" si="0"/>
        <v>8343</v>
      </c>
      <c r="AA17" s="6"/>
      <c r="AB17" s="304"/>
      <c r="AC17" s="297"/>
    </row>
    <row r="18" spans="3:29" ht="15" thickBot="1" x14ac:dyDescent="0.35">
      <c r="C18" s="1"/>
      <c r="D18" s="551" t="s">
        <v>46</v>
      </c>
      <c r="E18" s="552"/>
      <c r="F18" s="552"/>
      <c r="G18" s="552"/>
      <c r="H18" s="552"/>
      <c r="I18" s="552"/>
      <c r="J18" s="552"/>
      <c r="K18" s="552"/>
      <c r="L18" s="552"/>
      <c r="M18" s="552"/>
      <c r="N18" s="552"/>
      <c r="O18" s="553"/>
      <c r="P18" s="90"/>
      <c r="Q18" s="90"/>
      <c r="R18" s="90"/>
      <c r="S18" s="295"/>
      <c r="T18" s="298">
        <f t="shared" si="1"/>
        <v>43963</v>
      </c>
      <c r="U18" s="6"/>
      <c r="V18" s="299">
        <v>413524</v>
      </c>
      <c r="W18" s="6"/>
      <c r="X18" s="44">
        <f>+L43</f>
        <v>0</v>
      </c>
      <c r="Y18" s="6"/>
      <c r="Z18" s="300">
        <f t="shared" si="0"/>
        <v>1634</v>
      </c>
      <c r="AA18" s="6"/>
      <c r="AB18" s="304"/>
      <c r="AC18" s="297"/>
    </row>
    <row r="19" spans="3:29" ht="15" thickBot="1" x14ac:dyDescent="0.35">
      <c r="C19" s="1"/>
      <c r="D19" s="146"/>
      <c r="E19" s="554" t="s">
        <v>76</v>
      </c>
      <c r="F19" s="554"/>
      <c r="G19" s="554"/>
      <c r="H19" s="554"/>
      <c r="I19" s="147" t="s">
        <v>75</v>
      </c>
      <c r="J19" s="148"/>
      <c r="K19" s="559" t="s">
        <v>73</v>
      </c>
      <c r="L19" s="559"/>
      <c r="M19" s="141"/>
      <c r="N19" s="145" t="s">
        <v>74</v>
      </c>
      <c r="O19" s="142"/>
      <c r="P19" s="114"/>
      <c r="Q19" s="114"/>
      <c r="R19" s="114"/>
      <c r="S19" s="295"/>
      <c r="T19" s="298">
        <f t="shared" si="1"/>
        <v>43964</v>
      </c>
      <c r="U19" s="6"/>
      <c r="V19" s="299">
        <v>410932</v>
      </c>
      <c r="W19" s="6"/>
      <c r="X19" s="44">
        <f>+L44</f>
        <v>0</v>
      </c>
      <c r="Y19" s="6"/>
      <c r="Z19" s="300">
        <f t="shared" si="0"/>
        <v>2592</v>
      </c>
      <c r="AA19" s="6"/>
      <c r="AB19" s="304"/>
      <c r="AC19" s="297"/>
    </row>
    <row r="20" spans="3:29" x14ac:dyDescent="0.3">
      <c r="C20" s="1"/>
      <c r="D20" s="126"/>
      <c r="E20" s="127" t="s">
        <v>43</v>
      </c>
      <c r="F20" s="128"/>
      <c r="G20" s="127"/>
      <c r="H20" s="127"/>
      <c r="I20" s="93">
        <f>+'Main Table'!H85</f>
        <v>1918577</v>
      </c>
      <c r="J20" s="129"/>
      <c r="K20" s="140"/>
      <c r="L20" s="140"/>
      <c r="M20" s="140"/>
      <c r="N20" s="140"/>
      <c r="O20" s="136"/>
      <c r="P20" s="90"/>
      <c r="Q20" s="90"/>
      <c r="R20" s="90"/>
      <c r="S20" s="295"/>
      <c r="T20" s="298">
        <f t="shared" si="1"/>
        <v>43965</v>
      </c>
      <c r="U20" s="6"/>
      <c r="V20" s="299">
        <v>409640</v>
      </c>
      <c r="W20" s="6"/>
      <c r="X20" s="44">
        <v>0</v>
      </c>
      <c r="Y20" s="6"/>
      <c r="Z20" s="300">
        <f t="shared" ref="Z20:Z51" si="2">+V19-V20</f>
        <v>1292</v>
      </c>
      <c r="AA20" s="6"/>
      <c r="AB20" s="304"/>
      <c r="AC20" s="297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Table'!Z103</f>
        <v>119129</v>
      </c>
      <c r="J21" s="129"/>
      <c r="K21" s="140"/>
      <c r="L21" s="140"/>
      <c r="M21" s="140"/>
      <c r="N21" s="140"/>
      <c r="O21" s="136"/>
      <c r="P21" s="90"/>
      <c r="Q21" s="90"/>
      <c r="R21" s="90"/>
      <c r="S21" s="295"/>
      <c r="T21" s="298">
        <f t="shared" si="1"/>
        <v>43966</v>
      </c>
      <c r="U21" s="6"/>
      <c r="V21" s="299">
        <v>405327</v>
      </c>
      <c r="W21" s="6"/>
      <c r="X21" s="44">
        <v>0.27300000000000002</v>
      </c>
      <c r="Y21" s="6"/>
      <c r="Z21" s="300">
        <f t="shared" si="2"/>
        <v>4313</v>
      </c>
      <c r="AA21" s="6"/>
      <c r="AB21" s="304"/>
      <c r="AC21" s="297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16695</v>
      </c>
      <c r="J22" s="129"/>
      <c r="K22" s="140"/>
      <c r="L22" s="283">
        <v>16716</v>
      </c>
      <c r="M22" s="140"/>
      <c r="N22" s="160">
        <f>+(I22-L22)/I22</f>
        <v>-1.2578616352201257E-3</v>
      </c>
      <c r="O22" s="136"/>
      <c r="P22" s="90"/>
      <c r="Q22" s="90"/>
      <c r="R22" s="90"/>
      <c r="S22" s="295"/>
      <c r="T22" s="298">
        <f t="shared" si="1"/>
        <v>43967</v>
      </c>
      <c r="U22" s="6"/>
      <c r="V22" s="299">
        <v>393991</v>
      </c>
      <c r="W22" s="6"/>
      <c r="X22" s="44">
        <v>0.26100000000000001</v>
      </c>
      <c r="Y22" s="6"/>
      <c r="Z22" s="300">
        <f t="shared" si="2"/>
        <v>11336</v>
      </c>
      <c r="AA22" s="6"/>
      <c r="AB22" s="304"/>
      <c r="AC22" s="297"/>
    </row>
    <row r="23" spans="3:29" x14ac:dyDescent="0.3">
      <c r="C23" s="1"/>
      <c r="D23" s="126"/>
      <c r="E23" s="127"/>
      <c r="F23" s="137" t="s">
        <v>71</v>
      </c>
      <c r="G23" s="137"/>
      <c r="H23" s="137"/>
      <c r="I23" s="130">
        <f>+I20-I21-I22</f>
        <v>1782753</v>
      </c>
      <c r="J23" s="129"/>
      <c r="K23" s="140"/>
      <c r="L23" s="140"/>
      <c r="M23" s="140"/>
      <c r="N23" s="140"/>
      <c r="O23" s="136"/>
      <c r="P23" s="113"/>
      <c r="Q23" s="113"/>
      <c r="R23" s="476"/>
      <c r="S23" s="295"/>
      <c r="T23" s="298">
        <f t="shared" si="1"/>
        <v>43968</v>
      </c>
      <c r="U23" s="6"/>
      <c r="V23" s="299">
        <v>384245</v>
      </c>
      <c r="W23" s="6"/>
      <c r="X23" s="44">
        <v>0.251</v>
      </c>
      <c r="Y23" s="6"/>
      <c r="Z23" s="300">
        <f t="shared" si="2"/>
        <v>9746</v>
      </c>
      <c r="AA23" s="6"/>
      <c r="AB23" s="304"/>
      <c r="AC23" s="297"/>
    </row>
    <row r="24" spans="3:29" x14ac:dyDescent="0.3">
      <c r="C24" s="1"/>
      <c r="D24" s="126"/>
      <c r="E24" s="127" t="s">
        <v>78</v>
      </c>
      <c r="F24" s="129"/>
      <c r="G24" s="129"/>
      <c r="H24" s="129"/>
      <c r="I24" s="131">
        <f>+'Main Table'!AO103</f>
        <v>903041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5"/>
      <c r="T24" s="298">
        <f t="shared" si="1"/>
        <v>43969</v>
      </c>
      <c r="U24" s="6"/>
      <c r="V24" s="299">
        <v>379527</v>
      </c>
      <c r="W24" s="6"/>
      <c r="X24" s="44">
        <v>0.245</v>
      </c>
      <c r="Y24" s="6"/>
      <c r="Z24" s="300">
        <f t="shared" si="2"/>
        <v>4718</v>
      </c>
      <c r="AA24" s="6"/>
      <c r="AB24" s="304"/>
      <c r="AC24" s="297"/>
    </row>
    <row r="25" spans="3:29" x14ac:dyDescent="0.3">
      <c r="C25" s="1"/>
      <c r="D25" s="555" t="s">
        <v>49</v>
      </c>
      <c r="E25" s="556"/>
      <c r="F25" s="556"/>
      <c r="G25" s="556"/>
      <c r="H25" s="556"/>
      <c r="I25" s="132">
        <f>+I23-I24</f>
        <v>879712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5"/>
      <c r="T25" s="298">
        <f t="shared" si="1"/>
        <v>43970</v>
      </c>
      <c r="U25" s="6"/>
      <c r="V25" s="299">
        <v>375997</v>
      </c>
      <c r="W25" s="6"/>
      <c r="X25" s="44">
        <v>0.23899999999999999</v>
      </c>
      <c r="Y25" s="6"/>
      <c r="Z25" s="300">
        <f t="shared" si="2"/>
        <v>3530</v>
      </c>
      <c r="AA25" s="6"/>
      <c r="AB25" s="304"/>
      <c r="AC25" s="297"/>
    </row>
    <row r="26" spans="3:29" x14ac:dyDescent="0.3">
      <c r="C26" s="1"/>
      <c r="D26" s="126"/>
      <c r="E26" s="127" t="s">
        <v>72</v>
      </c>
      <c r="F26" s="129"/>
      <c r="G26" s="129"/>
      <c r="H26" s="129"/>
      <c r="I26" s="131">
        <f>+I24</f>
        <v>903041</v>
      </c>
      <c r="J26" s="129"/>
      <c r="K26" s="140"/>
      <c r="L26" s="140"/>
      <c r="M26" s="140"/>
      <c r="N26" s="140"/>
      <c r="O26" s="136"/>
      <c r="P26" s="90"/>
      <c r="Q26" s="90"/>
      <c r="R26" s="90"/>
      <c r="S26" s="295"/>
      <c r="T26" s="298">
        <f t="shared" si="1"/>
        <v>43971</v>
      </c>
      <c r="U26" s="6"/>
      <c r="V26" s="299">
        <v>373168</v>
      </c>
      <c r="W26" s="6"/>
      <c r="X26" s="44">
        <v>0.23400000000000001</v>
      </c>
      <c r="Y26" s="6"/>
      <c r="Z26" s="300">
        <f t="shared" si="2"/>
        <v>2829</v>
      </c>
      <c r="AA26" s="6"/>
      <c r="AB26" s="304"/>
      <c r="AC26" s="297"/>
    </row>
    <row r="27" spans="3:29" ht="15" thickBot="1" x14ac:dyDescent="0.35">
      <c r="C27" s="1"/>
      <c r="D27" s="555" t="s">
        <v>46</v>
      </c>
      <c r="E27" s="556"/>
      <c r="F27" s="556"/>
      <c r="G27" s="556"/>
      <c r="H27" s="556"/>
      <c r="I27" s="149">
        <f>+I25+I26</f>
        <v>1782753</v>
      </c>
      <c r="J27" s="129"/>
      <c r="K27" s="560">
        <v>1763005</v>
      </c>
      <c r="L27" s="560"/>
      <c r="M27" s="140"/>
      <c r="N27" s="150">
        <f>+I27-K27</f>
        <v>19748</v>
      </c>
      <c r="O27" s="136"/>
      <c r="P27" s="90"/>
      <c r="Q27" s="90"/>
      <c r="R27" s="90"/>
      <c r="S27" s="295"/>
      <c r="T27" s="298">
        <f t="shared" si="1"/>
        <v>43972</v>
      </c>
      <c r="U27" s="6"/>
      <c r="V27" s="299">
        <v>346181</v>
      </c>
      <c r="W27" s="6"/>
      <c r="X27" s="44">
        <v>0.214</v>
      </c>
      <c r="Y27" s="6"/>
      <c r="Z27" s="300">
        <f t="shared" si="2"/>
        <v>26987</v>
      </c>
      <c r="AA27" s="6"/>
      <c r="AB27" s="304"/>
      <c r="AC27" s="297"/>
    </row>
    <row r="28" spans="3:29" ht="15.6" thickTop="1" thickBot="1" x14ac:dyDescent="0.35">
      <c r="C28" s="10"/>
      <c r="D28" s="135"/>
      <c r="E28" s="557" t="s">
        <v>70</v>
      </c>
      <c r="F28" s="557"/>
      <c r="G28" s="557"/>
      <c r="H28" s="137"/>
      <c r="I28" s="276">
        <f>+I27/I32</f>
        <v>0.80731703561744084</v>
      </c>
      <c r="J28" s="140"/>
      <c r="K28" s="140"/>
      <c r="L28" s="140"/>
      <c r="M28" s="110"/>
      <c r="N28" s="162">
        <f>+N27/K27</f>
        <v>1.1201329548129472E-2</v>
      </c>
      <c r="O28" s="136"/>
      <c r="P28" s="1"/>
      <c r="Q28" s="1"/>
      <c r="R28" s="1"/>
      <c r="S28" s="295"/>
      <c r="T28" s="298">
        <f t="shared" si="1"/>
        <v>43973</v>
      </c>
      <c r="U28" s="6"/>
      <c r="V28" s="299">
        <v>341216</v>
      </c>
      <c r="W28" s="6"/>
      <c r="X28" s="44">
        <v>0.20699999999999999</v>
      </c>
      <c r="Y28" s="6"/>
      <c r="Z28" s="300">
        <f t="shared" si="2"/>
        <v>4965</v>
      </c>
      <c r="AA28" s="6"/>
      <c r="AB28" s="304"/>
      <c r="AC28" s="297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5"/>
      <c r="T29" s="298">
        <f t="shared" si="1"/>
        <v>43974</v>
      </c>
      <c r="U29" s="6"/>
      <c r="V29" s="299">
        <v>336852</v>
      </c>
      <c r="W29" s="6"/>
      <c r="X29" s="44">
        <v>0.20200000000000001</v>
      </c>
      <c r="Y29" s="6"/>
      <c r="Z29" s="300">
        <f t="shared" si="2"/>
        <v>4364</v>
      </c>
      <c r="AA29" s="6"/>
      <c r="AB29" s="304"/>
      <c r="AC29" s="297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2"/>
      <c r="S30" s="295"/>
      <c r="T30" s="298">
        <f t="shared" si="1"/>
        <v>43975</v>
      </c>
      <c r="U30" s="6"/>
      <c r="V30" s="299">
        <v>336142</v>
      </c>
      <c r="W30" s="6"/>
      <c r="X30" s="44">
        <v>0.19900000000000001</v>
      </c>
      <c r="Y30" s="6"/>
      <c r="Z30" s="300">
        <f t="shared" si="2"/>
        <v>710</v>
      </c>
      <c r="AA30" s="6"/>
      <c r="AB30" s="304"/>
      <c r="AC30" s="297"/>
    </row>
    <row r="31" spans="3:29" ht="16.2" thickBot="1" x14ac:dyDescent="0.35">
      <c r="C31" s="90"/>
      <c r="D31" s="274"/>
      <c r="E31" s="566" t="s">
        <v>115</v>
      </c>
      <c r="F31" s="567"/>
      <c r="G31" s="567"/>
      <c r="H31" s="567"/>
      <c r="I31" s="567"/>
      <c r="J31" s="568"/>
      <c r="K31" s="273"/>
      <c r="L31" s="272" t="s">
        <v>10</v>
      </c>
      <c r="M31" s="271"/>
      <c r="N31" s="270"/>
      <c r="O31" s="110"/>
      <c r="P31" s="90"/>
      <c r="Q31" s="90"/>
      <c r="R31" s="90"/>
      <c r="S31" s="295"/>
      <c r="T31" s="298">
        <f t="shared" si="1"/>
        <v>43976</v>
      </c>
      <c r="U31" s="6"/>
      <c r="V31" s="299">
        <v>337736</v>
      </c>
      <c r="W31" s="6"/>
      <c r="X31" s="44">
        <v>0.19800000000000001</v>
      </c>
      <c r="Y31" s="6"/>
      <c r="Z31" s="300">
        <f t="shared" si="2"/>
        <v>-1594</v>
      </c>
      <c r="AA31" s="6"/>
      <c r="AB31" s="304"/>
      <c r="AC31" s="297"/>
    </row>
    <row r="32" spans="3:29" x14ac:dyDescent="0.3">
      <c r="C32" s="10"/>
      <c r="D32" s="261"/>
      <c r="E32" s="262" t="s">
        <v>89</v>
      </c>
      <c r="F32" s="24"/>
      <c r="G32" s="24"/>
      <c r="H32" s="24"/>
      <c r="I32" s="561">
        <f>+'Main Table'!H103</f>
        <v>2208244</v>
      </c>
      <c r="J32" s="561"/>
      <c r="K32" s="24"/>
      <c r="L32" s="25">
        <f>+I32/$I$32</f>
        <v>1</v>
      </c>
      <c r="M32" s="263"/>
      <c r="N32" s="90"/>
      <c r="O32" s="90"/>
      <c r="P32" s="90"/>
      <c r="Q32" s="90"/>
      <c r="R32" s="90"/>
      <c r="S32" s="295"/>
      <c r="T32" s="298">
        <f t="shared" si="1"/>
        <v>43977</v>
      </c>
      <c r="U32" s="6"/>
      <c r="V32" s="299">
        <v>333791</v>
      </c>
      <c r="W32" s="6"/>
      <c r="X32" s="44">
        <v>0.193</v>
      </c>
      <c r="Y32" s="6"/>
      <c r="Z32" s="300">
        <f t="shared" si="2"/>
        <v>3945</v>
      </c>
      <c r="AA32" s="6"/>
      <c r="AB32" s="304"/>
      <c r="AC32" s="297"/>
    </row>
    <row r="33" spans="3:29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90"/>
      <c r="S33" s="295"/>
      <c r="T33" s="298">
        <f t="shared" si="1"/>
        <v>43978</v>
      </c>
      <c r="U33" s="6"/>
      <c r="V33" s="299">
        <v>332639</v>
      </c>
      <c r="W33" s="6"/>
      <c r="X33" s="44">
        <v>0.191</v>
      </c>
      <c r="Y33" s="6"/>
      <c r="Z33" s="300">
        <f t="shared" si="2"/>
        <v>1152</v>
      </c>
      <c r="AA33" s="6"/>
      <c r="AB33" s="304"/>
      <c r="AC33" s="297"/>
    </row>
    <row r="34" spans="3:29" x14ac:dyDescent="0.3">
      <c r="D34" s="264"/>
      <c r="E34" s="22"/>
      <c r="F34" s="265" t="s">
        <v>114</v>
      </c>
      <c r="G34" s="265"/>
      <c r="H34" s="22"/>
      <c r="I34" s="562">
        <f>+I27</f>
        <v>1782753</v>
      </c>
      <c r="J34" s="563"/>
      <c r="K34" s="22"/>
      <c r="L34" s="25">
        <f>+I34/$I$32</f>
        <v>0.80731703561744084</v>
      </c>
      <c r="M34" s="266"/>
      <c r="P34" s="234"/>
      <c r="Q34" s="234"/>
      <c r="R34" s="234"/>
      <c r="S34" s="295"/>
      <c r="T34" s="298">
        <f t="shared" si="1"/>
        <v>43979</v>
      </c>
      <c r="U34" s="6"/>
      <c r="V34" s="299">
        <v>328088</v>
      </c>
      <c r="W34" s="6"/>
      <c r="X34" s="44">
        <v>0.186</v>
      </c>
      <c r="Y34" s="6"/>
      <c r="Z34" s="300">
        <f t="shared" si="2"/>
        <v>4551</v>
      </c>
      <c r="AA34" s="6"/>
      <c r="AB34" s="304"/>
      <c r="AC34" s="297"/>
    </row>
    <row r="35" spans="3:29" x14ac:dyDescent="0.3">
      <c r="D35" s="264"/>
      <c r="E35" s="22"/>
      <c r="F35" s="22" t="s">
        <v>90</v>
      </c>
      <c r="G35" s="22"/>
      <c r="H35" s="22"/>
      <c r="I35" s="569">
        <f>+I21</f>
        <v>119129</v>
      </c>
      <c r="J35" s="570"/>
      <c r="K35" s="22"/>
      <c r="L35" s="25">
        <f>+I35/$I$32</f>
        <v>5.3947389871771417E-2</v>
      </c>
      <c r="M35" s="266"/>
      <c r="P35" s="275"/>
      <c r="Q35" s="275"/>
      <c r="R35" s="275"/>
      <c r="S35" s="295"/>
      <c r="T35" s="298">
        <f t="shared" si="1"/>
        <v>43980</v>
      </c>
      <c r="U35" s="6"/>
      <c r="V35" s="299">
        <v>326426</v>
      </c>
      <c r="W35" s="6"/>
      <c r="X35" s="44">
        <v>0.182</v>
      </c>
      <c r="Y35" s="6"/>
      <c r="Z35" s="300">
        <f t="shared" si="2"/>
        <v>1662</v>
      </c>
      <c r="AA35" s="6"/>
      <c r="AB35" s="304"/>
      <c r="AC35" s="297"/>
    </row>
    <row r="36" spans="3:29" ht="15" thickBot="1" x14ac:dyDescent="0.35">
      <c r="D36" s="264"/>
      <c r="E36" s="558" t="s">
        <v>115</v>
      </c>
      <c r="F36" s="558"/>
      <c r="G36" s="558"/>
      <c r="H36" s="277"/>
      <c r="I36" s="564">
        <f>+I32-I34-I35</f>
        <v>306362</v>
      </c>
      <c r="J36" s="565"/>
      <c r="K36" s="305"/>
      <c r="L36" s="278">
        <f>+I36/$I$32</f>
        <v>0.13873557451078775</v>
      </c>
      <c r="M36" s="266"/>
      <c r="S36" s="295"/>
      <c r="T36" s="298">
        <f t="shared" si="1"/>
        <v>43981</v>
      </c>
      <c r="U36" s="6"/>
      <c r="V36" s="299">
        <v>326228</v>
      </c>
      <c r="W36" s="6"/>
      <c r="X36" s="44">
        <v>0.16900000000000001</v>
      </c>
      <c r="Y36" s="6"/>
      <c r="Z36" s="300">
        <f t="shared" si="2"/>
        <v>198</v>
      </c>
      <c r="AA36" s="6"/>
      <c r="AB36" s="304"/>
      <c r="AC36" s="297"/>
    </row>
    <row r="37" spans="3:29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475"/>
      <c r="S37" s="295"/>
      <c r="T37" s="298">
        <f t="shared" si="1"/>
        <v>43982</v>
      </c>
      <c r="U37" s="6"/>
      <c r="V37" s="299">
        <v>303951</v>
      </c>
      <c r="W37" s="6"/>
      <c r="X37" s="44">
        <v>0.16500000000000001</v>
      </c>
      <c r="Y37" s="6"/>
      <c r="Z37" s="300">
        <f t="shared" si="2"/>
        <v>22277</v>
      </c>
      <c r="AA37" s="6"/>
      <c r="AB37" s="304"/>
      <c r="AC37" s="297"/>
    </row>
    <row r="38" spans="3:29" x14ac:dyDescent="0.3">
      <c r="S38" s="295"/>
      <c r="T38" s="298">
        <f t="shared" si="1"/>
        <v>43983</v>
      </c>
      <c r="U38" s="6"/>
      <c r="V38" s="299">
        <v>305817</v>
      </c>
      <c r="W38" s="6"/>
      <c r="X38" s="44">
        <v>0.16400000000000001</v>
      </c>
      <c r="Y38" s="6"/>
      <c r="Z38" s="300">
        <f t="shared" si="2"/>
        <v>-1866</v>
      </c>
      <c r="AA38" s="6"/>
      <c r="AB38" s="304"/>
      <c r="AC38" s="297"/>
    </row>
    <row r="39" spans="3:29" x14ac:dyDescent="0.3">
      <c r="S39" s="295"/>
      <c r="T39" s="298">
        <f t="shared" si="1"/>
        <v>43984</v>
      </c>
      <c r="U39" s="6"/>
      <c r="V39" s="299">
        <v>305724</v>
      </c>
      <c r="W39" s="6"/>
      <c r="X39" s="44">
        <v>0.16300000000000001</v>
      </c>
      <c r="Y39" s="6"/>
      <c r="Z39" s="300">
        <f t="shared" si="2"/>
        <v>93</v>
      </c>
      <c r="AA39" s="6"/>
      <c r="AB39" s="304"/>
      <c r="AC39" s="297"/>
    </row>
    <row r="40" spans="3:29" ht="15" thickBot="1" x14ac:dyDescent="0.35">
      <c r="S40" s="295"/>
      <c r="T40" s="298">
        <f t="shared" si="1"/>
        <v>43985</v>
      </c>
      <c r="U40" s="6"/>
      <c r="V40" s="299">
        <v>297824</v>
      </c>
      <c r="W40" s="6"/>
      <c r="X40" s="44">
        <v>0.157</v>
      </c>
      <c r="Y40" s="6"/>
      <c r="Z40" s="300">
        <f t="shared" si="2"/>
        <v>7900</v>
      </c>
      <c r="AA40" s="6"/>
      <c r="AB40" s="304"/>
      <c r="AC40" s="297"/>
    </row>
    <row r="41" spans="3:29" ht="15" thickBot="1" x14ac:dyDescent="0.35">
      <c r="D41" s="546" t="s">
        <v>128</v>
      </c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8"/>
      <c r="S41" s="295"/>
      <c r="T41" s="298">
        <f t="shared" si="1"/>
        <v>43986</v>
      </c>
      <c r="U41" s="6"/>
      <c r="V41" s="299">
        <v>296183</v>
      </c>
      <c r="W41" s="6"/>
      <c r="X41" s="44">
        <v>0.154</v>
      </c>
      <c r="Y41" s="6"/>
      <c r="Z41" s="300">
        <f t="shared" si="2"/>
        <v>1641</v>
      </c>
      <c r="AA41" s="6"/>
      <c r="AB41" s="304"/>
      <c r="AC41" s="297"/>
    </row>
    <row r="42" spans="3:29" ht="15" thickBot="1" x14ac:dyDescent="0.35">
      <c r="D42" s="323"/>
      <c r="E42" s="549" t="s">
        <v>76</v>
      </c>
      <c r="F42" s="549"/>
      <c r="G42" s="549"/>
      <c r="H42" s="549"/>
      <c r="I42" s="306" t="s">
        <v>75</v>
      </c>
      <c r="J42" s="307"/>
      <c r="K42" s="550" t="s">
        <v>37</v>
      </c>
      <c r="L42" s="550"/>
      <c r="M42" s="308"/>
      <c r="N42" s="309" t="s">
        <v>74</v>
      </c>
      <c r="O42" s="324"/>
      <c r="S42" s="295"/>
      <c r="T42" s="298">
        <f t="shared" si="1"/>
        <v>43987</v>
      </c>
      <c r="U42" s="6"/>
      <c r="V42" s="299">
        <v>299564</v>
      </c>
      <c r="W42" s="6"/>
      <c r="X42" s="44">
        <v>0.154</v>
      </c>
      <c r="Y42" s="6"/>
      <c r="Z42" s="300">
        <f t="shared" si="2"/>
        <v>-3381</v>
      </c>
      <c r="AA42" s="6"/>
      <c r="AB42" s="304"/>
      <c r="AC42" s="297"/>
    </row>
    <row r="43" spans="3:29" x14ac:dyDescent="0.3">
      <c r="D43" s="325"/>
      <c r="E43" s="310" t="s">
        <v>43</v>
      </c>
      <c r="F43" s="311"/>
      <c r="G43" s="310"/>
      <c r="H43" s="310"/>
      <c r="I43" s="382">
        <v>25405</v>
      </c>
      <c r="J43" s="382"/>
      <c r="K43" s="383"/>
      <c r="L43" s="383"/>
      <c r="M43" s="383"/>
      <c r="N43" s="383"/>
      <c r="O43" s="317"/>
      <c r="S43" s="295"/>
      <c r="T43" s="298">
        <f t="shared" si="1"/>
        <v>43988</v>
      </c>
      <c r="U43" s="6"/>
      <c r="V43" s="299">
        <v>299553</v>
      </c>
      <c r="W43" s="6"/>
      <c r="X43" s="44">
        <v>0.154</v>
      </c>
      <c r="Y43" s="6"/>
      <c r="Z43" s="300">
        <f t="shared" si="2"/>
        <v>11</v>
      </c>
      <c r="AA43" s="6"/>
      <c r="AB43" s="304"/>
      <c r="AC43" s="297"/>
    </row>
    <row r="44" spans="3:29" x14ac:dyDescent="0.3">
      <c r="D44" s="325"/>
      <c r="E44" s="310" t="s">
        <v>44</v>
      </c>
      <c r="F44" s="310" t="s">
        <v>4</v>
      </c>
      <c r="G44" s="310"/>
      <c r="H44" s="310"/>
      <c r="I44" s="382">
        <v>1836</v>
      </c>
      <c r="J44" s="382"/>
      <c r="K44" s="383"/>
      <c r="L44" s="383"/>
      <c r="M44" s="383"/>
      <c r="N44" s="383"/>
      <c r="O44" s="317"/>
      <c r="S44" s="295"/>
      <c r="T44" s="298">
        <f t="shared" si="1"/>
        <v>43989</v>
      </c>
      <c r="U44" s="6"/>
      <c r="V44" s="299">
        <v>301798</v>
      </c>
      <c r="W44" s="6"/>
      <c r="X44" s="44">
        <v>0.152</v>
      </c>
      <c r="Y44" s="6"/>
      <c r="Z44" s="300">
        <f t="shared" si="2"/>
        <v>-2245</v>
      </c>
      <c r="AA44" s="6"/>
      <c r="AB44" s="304"/>
      <c r="AC44" s="297"/>
    </row>
    <row r="45" spans="3:29" x14ac:dyDescent="0.3">
      <c r="D45" s="325"/>
      <c r="E45" s="310"/>
      <c r="F45" s="310" t="s">
        <v>45</v>
      </c>
      <c r="G45" s="310"/>
      <c r="H45" s="310"/>
      <c r="I45" s="384">
        <v>1397</v>
      </c>
      <c r="J45" s="382"/>
      <c r="K45" s="383"/>
      <c r="L45" s="382"/>
      <c r="M45" s="383"/>
      <c r="N45" s="385"/>
      <c r="O45" s="317"/>
      <c r="S45" s="295"/>
      <c r="T45" s="298">
        <f t="shared" si="1"/>
        <v>43990</v>
      </c>
      <c r="U45" s="6"/>
      <c r="V45" s="299">
        <v>301795</v>
      </c>
      <c r="W45" s="6"/>
      <c r="X45" s="44">
        <v>0.15</v>
      </c>
      <c r="Y45" s="6"/>
      <c r="Z45" s="300">
        <f t="shared" si="2"/>
        <v>3</v>
      </c>
      <c r="AA45" s="6"/>
      <c r="AB45" s="304"/>
      <c r="AC45" s="297"/>
    </row>
    <row r="46" spans="3:29" x14ac:dyDescent="0.3">
      <c r="D46" s="325"/>
      <c r="E46" s="310"/>
      <c r="F46" s="314" t="s">
        <v>71</v>
      </c>
      <c r="G46" s="314"/>
      <c r="H46" s="314"/>
      <c r="I46" s="382">
        <f>+I43-I44-I45</f>
        <v>22172</v>
      </c>
      <c r="J46" s="382"/>
      <c r="K46" s="383"/>
      <c r="L46" s="383"/>
      <c r="M46" s="383"/>
      <c r="N46" s="383"/>
      <c r="O46" s="317"/>
      <c r="S46" s="295"/>
      <c r="T46" s="298">
        <f t="shared" si="1"/>
        <v>43991</v>
      </c>
      <c r="U46" s="6"/>
      <c r="V46" s="299">
        <v>300305</v>
      </c>
      <c r="W46" s="6"/>
      <c r="X46" s="44">
        <v>0.14799999999999999</v>
      </c>
      <c r="Y46" s="6"/>
      <c r="Z46" s="300">
        <f t="shared" si="2"/>
        <v>1490</v>
      </c>
      <c r="AA46" s="6"/>
      <c r="AB46" s="304"/>
      <c r="AC46" s="297"/>
    </row>
    <row r="47" spans="3:29" x14ac:dyDescent="0.3">
      <c r="D47" s="325"/>
      <c r="E47" s="310" t="s">
        <v>78</v>
      </c>
      <c r="F47" s="312"/>
      <c r="G47" s="312"/>
      <c r="H47" s="312"/>
      <c r="I47" s="384">
        <f>+'Main Table'!AO120</f>
        <v>0</v>
      </c>
      <c r="J47" s="382"/>
      <c r="K47" s="383"/>
      <c r="L47" s="383"/>
      <c r="M47" s="383"/>
      <c r="N47" s="383"/>
      <c r="O47" s="317"/>
      <c r="S47" s="295"/>
      <c r="T47" s="298">
        <f t="shared" si="1"/>
        <v>43992</v>
      </c>
      <c r="U47" s="6"/>
      <c r="V47" s="299">
        <v>298430</v>
      </c>
      <c r="W47" s="6"/>
      <c r="X47" s="44">
        <v>0.14599999999999999</v>
      </c>
      <c r="Y47" s="6"/>
      <c r="Z47" s="300">
        <f t="shared" si="2"/>
        <v>1875</v>
      </c>
      <c r="AA47" s="6"/>
      <c r="AB47" s="304"/>
      <c r="AC47" s="297"/>
    </row>
    <row r="48" spans="3:29" x14ac:dyDescent="0.3">
      <c r="D48" s="572" t="s">
        <v>49</v>
      </c>
      <c r="E48" s="573"/>
      <c r="F48" s="573"/>
      <c r="G48" s="573"/>
      <c r="H48" s="573"/>
      <c r="I48" s="315">
        <f>+I46-I47</f>
        <v>22172</v>
      </c>
      <c r="J48" s="382"/>
      <c r="K48" s="383"/>
      <c r="L48" s="383"/>
      <c r="M48" s="383"/>
      <c r="N48" s="383"/>
      <c r="O48" s="317"/>
      <c r="S48" s="295"/>
      <c r="T48" s="298">
        <f t="shared" si="1"/>
        <v>43993</v>
      </c>
      <c r="U48" s="6"/>
      <c r="V48" s="299">
        <v>296204</v>
      </c>
      <c r="W48" s="6"/>
      <c r="X48" s="44">
        <v>0.14199999999999999</v>
      </c>
      <c r="Y48" s="6"/>
      <c r="Z48" s="300">
        <f t="shared" si="2"/>
        <v>2226</v>
      </c>
      <c r="AA48" s="6"/>
      <c r="AB48" s="304"/>
      <c r="AC48" s="297"/>
    </row>
    <row r="49" spans="4:29" x14ac:dyDescent="0.3">
      <c r="D49" s="325"/>
      <c r="E49" s="310" t="s">
        <v>72</v>
      </c>
      <c r="F49" s="312"/>
      <c r="G49" s="312"/>
      <c r="H49" s="312"/>
      <c r="I49" s="384">
        <f>+I47</f>
        <v>0</v>
      </c>
      <c r="J49" s="382"/>
      <c r="K49" s="383"/>
      <c r="L49" s="383"/>
      <c r="M49" s="383"/>
      <c r="N49" s="383"/>
      <c r="O49" s="317"/>
      <c r="S49" s="295"/>
      <c r="T49" s="298">
        <f t="shared" si="1"/>
        <v>43994</v>
      </c>
      <c r="U49" s="6"/>
      <c r="V49" s="299">
        <v>300135</v>
      </c>
      <c r="W49" s="6"/>
      <c r="X49" s="44">
        <v>0.14199999999999999</v>
      </c>
      <c r="Y49" s="6"/>
      <c r="Z49" s="300">
        <f t="shared" si="2"/>
        <v>-3931</v>
      </c>
      <c r="AA49" s="6"/>
      <c r="AB49" s="304"/>
      <c r="AC49" s="297"/>
    </row>
    <row r="50" spans="4:29" ht="15" thickBot="1" x14ac:dyDescent="0.35">
      <c r="D50" s="572" t="s">
        <v>46</v>
      </c>
      <c r="E50" s="573"/>
      <c r="F50" s="573"/>
      <c r="G50" s="573"/>
      <c r="H50" s="573"/>
      <c r="I50" s="386">
        <f>+I48+I49</f>
        <v>22172</v>
      </c>
      <c r="J50" s="382"/>
      <c r="K50" s="574">
        <v>30167</v>
      </c>
      <c r="L50" s="574"/>
      <c r="M50" s="383"/>
      <c r="N50" s="387">
        <f>+K50-I50</f>
        <v>7995</v>
      </c>
      <c r="O50" s="317"/>
      <c r="S50" s="295"/>
      <c r="T50" s="298">
        <f t="shared" si="1"/>
        <v>43995</v>
      </c>
      <c r="U50" s="6"/>
      <c r="V50" s="299">
        <v>305087</v>
      </c>
      <c r="W50" s="6"/>
      <c r="X50" s="44">
        <v>0.14199999999999999</v>
      </c>
      <c r="Y50" s="6"/>
      <c r="Z50" s="300">
        <f t="shared" si="2"/>
        <v>-4952</v>
      </c>
      <c r="AA50" s="6"/>
      <c r="AB50" s="304"/>
      <c r="AC50" s="297"/>
    </row>
    <row r="51" spans="4:29" ht="15.6" thickTop="1" thickBot="1" x14ac:dyDescent="0.35">
      <c r="D51" s="316"/>
      <c r="E51" s="575" t="s">
        <v>70</v>
      </c>
      <c r="F51" s="575"/>
      <c r="G51" s="575"/>
      <c r="H51" s="314"/>
      <c r="I51" s="388">
        <f>+I50/K50</f>
        <v>0.73497530414028578</v>
      </c>
      <c r="J51" s="383"/>
      <c r="K51" s="383"/>
      <c r="L51" s="383"/>
      <c r="M51" s="383"/>
      <c r="N51" s="389">
        <f>+N50/K50</f>
        <v>0.26502469585971428</v>
      </c>
      <c r="O51" s="317"/>
      <c r="R51" s="56"/>
      <c r="S51" s="295"/>
      <c r="T51" s="298">
        <f>+T50+1</f>
        <v>43996</v>
      </c>
      <c r="U51" s="6"/>
      <c r="V51" s="299">
        <v>302731</v>
      </c>
      <c r="W51" s="6"/>
      <c r="X51" s="44">
        <v>0.14000000000000001</v>
      </c>
      <c r="Y51" s="6"/>
      <c r="Z51" s="300">
        <f t="shared" si="2"/>
        <v>2356</v>
      </c>
      <c r="AA51" s="6"/>
      <c r="AB51" s="304"/>
      <c r="AC51" s="297"/>
    </row>
    <row r="52" spans="4:29" ht="15.6" thickTop="1" thickBot="1" x14ac:dyDescent="0.35">
      <c r="D52" s="326"/>
      <c r="E52" s="327"/>
      <c r="F52" s="327"/>
      <c r="G52" s="327"/>
      <c r="H52" s="327"/>
      <c r="I52" s="390"/>
      <c r="J52" s="391"/>
      <c r="K52" s="392"/>
      <c r="L52" s="392"/>
      <c r="M52" s="392"/>
      <c r="N52" s="392"/>
      <c r="O52" s="320"/>
      <c r="S52" s="295"/>
      <c r="T52" s="298">
        <f t="shared" ref="T52:T60" si="3">+T51+1</f>
        <v>43997</v>
      </c>
      <c r="U52" s="6"/>
      <c r="V52" s="299">
        <v>301583</v>
      </c>
      <c r="W52" s="6"/>
      <c r="X52" s="44">
        <v>0.13800000000000001</v>
      </c>
      <c r="Y52" s="6"/>
      <c r="Z52" s="300">
        <f t="shared" ref="Z52" si="4">+V51-V52</f>
        <v>1148</v>
      </c>
      <c r="AA52" s="6"/>
      <c r="AB52" s="304"/>
      <c r="AC52" s="297"/>
    </row>
    <row r="53" spans="4:29" ht="15" thickBot="1" x14ac:dyDescent="0.35">
      <c r="D53" s="90"/>
      <c r="E53" s="152"/>
      <c r="F53" s="152"/>
      <c r="G53" s="152"/>
      <c r="H53" s="152"/>
      <c r="I53" s="356"/>
      <c r="J53" s="90"/>
      <c r="K53" s="110"/>
      <c r="L53" s="110"/>
      <c r="M53" s="362"/>
      <c r="N53" s="110"/>
      <c r="O53" s="110"/>
      <c r="P53" s="61"/>
      <c r="Q53" s="61"/>
      <c r="S53" s="295"/>
      <c r="T53" s="298">
        <f t="shared" si="3"/>
        <v>43998</v>
      </c>
      <c r="U53" s="6"/>
      <c r="V53" s="299">
        <f>+I$36</f>
        <v>306362</v>
      </c>
      <c r="W53" s="6"/>
      <c r="X53" s="44">
        <f>+L$36</f>
        <v>0.13873557451078775</v>
      </c>
      <c r="Y53" s="6"/>
      <c r="Z53" s="300">
        <f t="shared" ref="Z53" si="5">+V52-V53</f>
        <v>-4779</v>
      </c>
      <c r="AA53" s="6"/>
      <c r="AB53" s="304"/>
      <c r="AC53" s="297"/>
    </row>
    <row r="54" spans="4:29" ht="16.2" thickBot="1" x14ac:dyDescent="0.35">
      <c r="D54" s="363"/>
      <c r="E54" s="538" t="s">
        <v>129</v>
      </c>
      <c r="F54" s="539"/>
      <c r="G54" s="539"/>
      <c r="H54" s="539"/>
      <c r="I54" s="539"/>
      <c r="J54" s="540"/>
      <c r="K54" s="364"/>
      <c r="L54" s="367" t="s">
        <v>10</v>
      </c>
      <c r="M54" s="366"/>
      <c r="N54" s="110"/>
      <c r="O54" s="110"/>
      <c r="P54" s="61"/>
      <c r="Q54" s="61"/>
      <c r="S54" s="295"/>
      <c r="T54" s="298">
        <f t="shared" si="3"/>
        <v>43999</v>
      </c>
      <c r="U54" s="6"/>
      <c r="V54" s="299"/>
      <c r="W54" s="6"/>
      <c r="X54" s="44"/>
      <c r="Y54" s="6"/>
      <c r="Z54" s="300"/>
      <c r="AA54" s="6"/>
      <c r="AB54" s="304"/>
      <c r="AC54" s="297"/>
    </row>
    <row r="55" spans="4:29" x14ac:dyDescent="0.3">
      <c r="D55" s="325"/>
      <c r="E55" s="357" t="s">
        <v>89</v>
      </c>
      <c r="F55" s="312"/>
      <c r="G55" s="312"/>
      <c r="H55" s="312"/>
      <c r="I55" s="576">
        <f>+K50</f>
        <v>30167</v>
      </c>
      <c r="J55" s="576"/>
      <c r="K55" s="312"/>
      <c r="L55" s="358">
        <f>+I55/$I$55</f>
        <v>1</v>
      </c>
      <c r="M55" s="365"/>
      <c r="N55" s="110"/>
      <c r="O55" s="110"/>
      <c r="P55" s="61"/>
      <c r="Q55" s="61"/>
      <c r="S55" s="295"/>
      <c r="T55" s="298">
        <f t="shared" si="3"/>
        <v>44000</v>
      </c>
      <c r="U55" s="6"/>
      <c r="V55" s="299"/>
      <c r="W55" s="6"/>
      <c r="X55" s="44"/>
      <c r="Y55" s="6"/>
      <c r="Z55" s="300"/>
      <c r="AA55" s="6"/>
      <c r="AB55" s="304"/>
      <c r="AC55" s="297"/>
    </row>
    <row r="56" spans="4:29" x14ac:dyDescent="0.3">
      <c r="D56" s="325"/>
      <c r="E56" s="357"/>
      <c r="F56" s="312"/>
      <c r="G56" s="312"/>
      <c r="H56" s="312"/>
      <c r="I56" s="312"/>
      <c r="J56" s="312"/>
      <c r="K56" s="312"/>
      <c r="L56" s="312"/>
      <c r="M56" s="365"/>
      <c r="N56" s="110"/>
      <c r="O56" s="110"/>
      <c r="P56" s="61"/>
      <c r="Q56" s="61"/>
      <c r="S56" s="295"/>
      <c r="T56" s="298">
        <f t="shared" si="3"/>
        <v>44001</v>
      </c>
      <c r="U56" s="6"/>
      <c r="V56" s="299"/>
      <c r="W56" s="6"/>
      <c r="X56" s="44"/>
      <c r="Y56" s="6"/>
      <c r="Z56" s="300"/>
      <c r="AA56" s="6"/>
      <c r="AB56" s="304"/>
      <c r="AC56" s="297"/>
    </row>
    <row r="57" spans="4:29" x14ac:dyDescent="0.3">
      <c r="D57" s="316"/>
      <c r="E57" s="313"/>
      <c r="F57" s="359" t="s">
        <v>114</v>
      </c>
      <c r="G57" s="359"/>
      <c r="H57" s="313"/>
      <c r="I57" s="577">
        <f>+I50</f>
        <v>22172</v>
      </c>
      <c r="J57" s="578"/>
      <c r="K57" s="313"/>
      <c r="L57" s="358">
        <f>+I57/$I$55</f>
        <v>0.73497530414028578</v>
      </c>
      <c r="M57" s="317"/>
      <c r="N57" s="110"/>
      <c r="O57" s="110"/>
      <c r="P57" s="61"/>
      <c r="Q57" s="61"/>
      <c r="S57" s="295"/>
      <c r="T57" s="298">
        <f t="shared" si="3"/>
        <v>44002</v>
      </c>
      <c r="U57" s="6"/>
      <c r="V57" s="299"/>
      <c r="W57" s="6"/>
      <c r="X57" s="44"/>
      <c r="Y57" s="6"/>
      <c r="Z57" s="300"/>
      <c r="AA57" s="6"/>
      <c r="AB57" s="304"/>
      <c r="AC57" s="297"/>
    </row>
    <row r="58" spans="4:29" x14ac:dyDescent="0.3">
      <c r="D58" s="316"/>
      <c r="E58" s="313"/>
      <c r="F58" s="313" t="s">
        <v>90</v>
      </c>
      <c r="G58" s="313"/>
      <c r="H58" s="313"/>
      <c r="I58" s="579">
        <f>+I44</f>
        <v>1836</v>
      </c>
      <c r="J58" s="580"/>
      <c r="K58" s="313"/>
      <c r="L58" s="358">
        <f>+I58/$I$55</f>
        <v>6.0861205953525378E-2</v>
      </c>
      <c r="M58" s="317"/>
      <c r="N58" s="110"/>
      <c r="O58" s="110"/>
      <c r="P58" s="61"/>
      <c r="Q58" s="61"/>
      <c r="S58" s="295"/>
      <c r="T58" s="298">
        <f t="shared" si="3"/>
        <v>44003</v>
      </c>
      <c r="U58" s="6"/>
      <c r="V58" s="299"/>
      <c r="W58" s="6"/>
      <c r="X58" s="44"/>
      <c r="Y58" s="6"/>
      <c r="Z58" s="300"/>
      <c r="AA58" s="6"/>
      <c r="AB58" s="304"/>
      <c r="AC58" s="297"/>
    </row>
    <row r="59" spans="4:29" ht="15" thickBot="1" x14ac:dyDescent="0.35">
      <c r="D59" s="316"/>
      <c r="E59" s="581" t="s">
        <v>115</v>
      </c>
      <c r="F59" s="581"/>
      <c r="G59" s="581"/>
      <c r="H59" s="313"/>
      <c r="I59" s="541">
        <f>+I55-I57-I58</f>
        <v>6159</v>
      </c>
      <c r="J59" s="582"/>
      <c r="K59" s="360"/>
      <c r="L59" s="361">
        <f>+I59/$I$55</f>
        <v>0.20416348990618888</v>
      </c>
      <c r="M59" s="317"/>
      <c r="N59" s="110"/>
      <c r="O59" s="110"/>
      <c r="P59" s="158"/>
      <c r="Q59" s="158"/>
      <c r="S59" s="295"/>
      <c r="T59" s="298">
        <f t="shared" si="3"/>
        <v>44004</v>
      </c>
      <c r="U59" s="6"/>
      <c r="V59" s="299"/>
      <c r="W59" s="6"/>
      <c r="X59" s="44"/>
      <c r="Y59" s="6"/>
      <c r="Z59" s="300"/>
      <c r="AA59" s="6"/>
      <c r="AB59" s="304"/>
      <c r="AC59" s="297"/>
    </row>
    <row r="60" spans="4:29" ht="15" thickTop="1" x14ac:dyDescent="0.3">
      <c r="D60" s="316"/>
      <c r="E60" s="470"/>
      <c r="F60" s="470" t="s">
        <v>130</v>
      </c>
      <c r="G60" s="470"/>
      <c r="H60" s="313"/>
      <c r="I60" s="583">
        <f>+I45</f>
        <v>1397</v>
      </c>
      <c r="J60" s="583"/>
      <c r="K60" s="360"/>
      <c r="L60" s="380"/>
      <c r="M60" s="317"/>
      <c r="N60" s="110"/>
      <c r="O60" s="110"/>
      <c r="P60" s="158"/>
      <c r="Q60" s="158"/>
      <c r="S60" s="295"/>
      <c r="T60" s="298">
        <f t="shared" si="3"/>
        <v>44005</v>
      </c>
      <c r="U60" s="6"/>
      <c r="V60" s="299"/>
      <c r="W60" s="6"/>
      <c r="X60" s="44"/>
      <c r="Y60" s="6"/>
      <c r="Z60" s="300"/>
      <c r="AA60" s="6"/>
      <c r="AB60" s="304"/>
      <c r="AC60" s="297"/>
    </row>
    <row r="61" spans="4:29" ht="15" thickBot="1" x14ac:dyDescent="0.35">
      <c r="D61" s="316"/>
      <c r="E61" s="379"/>
      <c r="F61" s="379" t="s">
        <v>131</v>
      </c>
      <c r="G61" s="379"/>
      <c r="H61" s="313"/>
      <c r="I61" s="541">
        <f>+I59-I60</f>
        <v>4762</v>
      </c>
      <c r="J61" s="541"/>
      <c r="K61" s="360"/>
      <c r="L61" s="361">
        <f>+I61/K50</f>
        <v>0.15785460934133325</v>
      </c>
      <c r="M61" s="317"/>
      <c r="N61" s="110"/>
      <c r="O61" s="110"/>
      <c r="P61" s="61"/>
      <c r="Q61" s="61"/>
      <c r="S61" s="301"/>
      <c r="T61" s="396">
        <f>+T60+1</f>
        <v>44006</v>
      </c>
      <c r="U61" s="292"/>
      <c r="V61" s="397"/>
      <c r="W61" s="292"/>
      <c r="X61" s="302"/>
      <c r="Y61" s="292"/>
      <c r="Z61" s="398"/>
      <c r="AA61" s="292"/>
      <c r="AB61" s="399"/>
      <c r="AC61" s="303"/>
    </row>
    <row r="62" spans="4:29" ht="15.6" thickTop="1" thickBot="1" x14ac:dyDescent="0.35">
      <c r="D62" s="318"/>
      <c r="E62" s="319"/>
      <c r="F62" s="319"/>
      <c r="G62" s="319"/>
      <c r="H62" s="319"/>
      <c r="I62" s="319"/>
      <c r="J62" s="319"/>
      <c r="K62" s="319"/>
      <c r="L62" s="319"/>
      <c r="M62" s="320"/>
      <c r="N62" s="110"/>
      <c r="O62" s="110"/>
      <c r="P62" s="61"/>
      <c r="Q62" s="61"/>
    </row>
    <row r="63" spans="4:29" ht="15" thickBot="1" x14ac:dyDescent="0.35"/>
    <row r="64" spans="4:29" ht="15" thickBot="1" x14ac:dyDescent="0.35">
      <c r="E64" s="538" t="s">
        <v>118</v>
      </c>
      <c r="F64" s="539"/>
      <c r="G64" s="539"/>
      <c r="H64" s="539"/>
      <c r="I64" s="539"/>
      <c r="J64" s="539"/>
      <c r="K64" s="539"/>
      <c r="L64" s="539"/>
      <c r="M64" s="540"/>
      <c r="P64" s="373"/>
      <c r="Q64" s="373"/>
    </row>
    <row r="65" spans="4:18" x14ac:dyDescent="0.3">
      <c r="E65" s="368"/>
      <c r="F65" s="321" t="s">
        <v>110</v>
      </c>
      <c r="G65" s="321"/>
      <c r="H65" s="321"/>
      <c r="I65" s="571">
        <v>11690000</v>
      </c>
      <c r="J65" s="571"/>
      <c r="K65" s="571"/>
      <c r="L65" s="571"/>
      <c r="M65" s="369"/>
      <c r="P65" s="57">
        <f>+I59/I65</f>
        <v>5.2686056458511551E-4</v>
      </c>
      <c r="Q65" s="57"/>
      <c r="R65" s="57"/>
    </row>
    <row r="66" spans="4:18" x14ac:dyDescent="0.3">
      <c r="E66" s="368"/>
      <c r="F66" s="321" t="s">
        <v>111</v>
      </c>
      <c r="G66" s="321"/>
      <c r="H66" s="321"/>
      <c r="I66" s="321"/>
      <c r="J66" s="321"/>
      <c r="K66" s="321"/>
      <c r="L66" s="322">
        <f>+I59/I65</f>
        <v>5.2686056458511551E-4</v>
      </c>
      <c r="M66" s="369"/>
    </row>
    <row r="67" spans="4:18" x14ac:dyDescent="0.3">
      <c r="E67" s="368"/>
      <c r="F67" s="537" t="s">
        <v>109</v>
      </c>
      <c r="G67" s="537"/>
      <c r="H67" s="321"/>
      <c r="I67" s="321"/>
      <c r="J67" s="321"/>
      <c r="K67" s="321"/>
      <c r="L67" s="381">
        <f>+I59/(I65/100000)</f>
        <v>52.686056458511544</v>
      </c>
      <c r="M67" s="369"/>
    </row>
    <row r="68" spans="4:18" ht="15" thickBot="1" x14ac:dyDescent="0.35">
      <c r="E68" s="370"/>
      <c r="F68" s="371"/>
      <c r="G68" s="371"/>
      <c r="H68" s="371"/>
      <c r="I68" s="371"/>
      <c r="J68" s="371"/>
      <c r="K68" s="371"/>
      <c r="L68" s="371"/>
      <c r="M68" s="372"/>
    </row>
    <row r="71" spans="4:18" ht="15" thickBot="1" x14ac:dyDescent="0.35"/>
    <row r="72" spans="4:18" ht="15" thickBot="1" x14ac:dyDescent="0.35">
      <c r="D72" s="600" t="s">
        <v>132</v>
      </c>
      <c r="E72" s="601"/>
      <c r="F72" s="601"/>
      <c r="G72" s="601"/>
      <c r="H72" s="601"/>
      <c r="I72" s="601"/>
      <c r="J72" s="601"/>
      <c r="K72" s="601"/>
      <c r="L72" s="601"/>
      <c r="M72" s="601"/>
      <c r="N72" s="601"/>
      <c r="O72" s="602"/>
    </row>
    <row r="73" spans="4:18" ht="15" thickBot="1" x14ac:dyDescent="0.35">
      <c r="D73" s="400"/>
      <c r="E73" s="603" t="s">
        <v>76</v>
      </c>
      <c r="F73" s="603"/>
      <c r="G73" s="603"/>
      <c r="H73" s="603"/>
      <c r="I73" s="401" t="s">
        <v>75</v>
      </c>
      <c r="J73" s="402"/>
      <c r="K73" s="604" t="s">
        <v>37</v>
      </c>
      <c r="L73" s="604"/>
      <c r="M73" s="403"/>
      <c r="N73" s="404" t="s">
        <v>74</v>
      </c>
      <c r="O73" s="405"/>
    </row>
    <row r="74" spans="4:18" x14ac:dyDescent="0.3">
      <c r="D74" s="406"/>
      <c r="E74" s="407" t="s">
        <v>43</v>
      </c>
      <c r="F74" s="408"/>
      <c r="G74" s="407"/>
      <c r="H74" s="407"/>
      <c r="I74" s="409">
        <v>38828</v>
      </c>
      <c r="J74" s="409"/>
      <c r="K74" s="410"/>
      <c r="L74" s="410"/>
      <c r="M74" s="410"/>
      <c r="N74" s="410"/>
      <c r="O74" s="411"/>
    </row>
    <row r="75" spans="4:18" x14ac:dyDescent="0.3">
      <c r="D75" s="406"/>
      <c r="E75" s="407" t="s">
        <v>44</v>
      </c>
      <c r="F75" s="407" t="s">
        <v>4</v>
      </c>
      <c r="G75" s="407"/>
      <c r="H75" s="407"/>
      <c r="I75" s="409">
        <v>2144</v>
      </c>
      <c r="J75" s="409"/>
      <c r="K75" s="410"/>
      <c r="L75" s="410"/>
      <c r="M75" s="410"/>
      <c r="N75" s="410"/>
      <c r="O75" s="411"/>
    </row>
    <row r="76" spans="4:18" x14ac:dyDescent="0.3">
      <c r="D76" s="406"/>
      <c r="E76" s="407"/>
      <c r="F76" s="407" t="s">
        <v>45</v>
      </c>
      <c r="G76" s="407"/>
      <c r="H76" s="407"/>
      <c r="I76" s="412"/>
      <c r="J76" s="409"/>
      <c r="K76" s="410"/>
      <c r="L76" s="409"/>
      <c r="M76" s="410"/>
      <c r="N76" s="413"/>
      <c r="O76" s="411"/>
    </row>
    <row r="77" spans="4:18" x14ac:dyDescent="0.3">
      <c r="D77" s="406"/>
      <c r="E77" s="407"/>
      <c r="F77" s="414" t="s">
        <v>71</v>
      </c>
      <c r="G77" s="414"/>
      <c r="H77" s="414"/>
      <c r="I77" s="409">
        <f>+I74-I75-I76</f>
        <v>36684</v>
      </c>
      <c r="J77" s="409"/>
      <c r="K77" s="410"/>
      <c r="L77" s="410"/>
      <c r="M77" s="410"/>
      <c r="N77" s="410"/>
      <c r="O77" s="411"/>
    </row>
    <row r="78" spans="4:18" x14ac:dyDescent="0.3">
      <c r="D78" s="406"/>
      <c r="E78" s="407" t="s">
        <v>78</v>
      </c>
      <c r="F78" s="16"/>
      <c r="G78" s="16"/>
      <c r="H78" s="16"/>
      <c r="I78" s="412">
        <f>+'Main Table'!AO150</f>
        <v>0</v>
      </c>
      <c r="J78" s="409"/>
      <c r="K78" s="410"/>
      <c r="L78" s="410"/>
      <c r="M78" s="410"/>
      <c r="N78" s="410"/>
      <c r="O78" s="411"/>
    </row>
    <row r="79" spans="4:18" x14ac:dyDescent="0.3">
      <c r="D79" s="605" t="s">
        <v>49</v>
      </c>
      <c r="E79" s="606"/>
      <c r="F79" s="606"/>
      <c r="G79" s="606"/>
      <c r="H79" s="606"/>
      <c r="I79" s="415">
        <f>+I77-I78</f>
        <v>36684</v>
      </c>
      <c r="J79" s="409"/>
      <c r="K79" s="410"/>
      <c r="L79" s="410"/>
      <c r="M79" s="410"/>
      <c r="N79" s="410"/>
      <c r="O79" s="411"/>
    </row>
    <row r="80" spans="4:18" x14ac:dyDescent="0.3">
      <c r="D80" s="406"/>
      <c r="E80" s="407" t="s">
        <v>72</v>
      </c>
      <c r="F80" s="16"/>
      <c r="G80" s="16"/>
      <c r="H80" s="16"/>
      <c r="I80" s="412">
        <f>+I78</f>
        <v>0</v>
      </c>
      <c r="J80" s="409"/>
      <c r="K80" s="410"/>
      <c r="L80" s="410"/>
      <c r="M80" s="410"/>
      <c r="N80" s="410"/>
      <c r="O80" s="411"/>
    </row>
    <row r="81" spans="4:18" ht="15" thickBot="1" x14ac:dyDescent="0.35">
      <c r="D81" s="605" t="s">
        <v>46</v>
      </c>
      <c r="E81" s="606"/>
      <c r="F81" s="606"/>
      <c r="G81" s="606"/>
      <c r="H81" s="606"/>
      <c r="I81" s="416">
        <f>+I79+I80</f>
        <v>36684</v>
      </c>
      <c r="J81" s="409"/>
      <c r="K81" s="608">
        <v>48675</v>
      </c>
      <c r="L81" s="608"/>
      <c r="M81" s="410"/>
      <c r="N81" s="417">
        <f>+K81-I81</f>
        <v>11991</v>
      </c>
      <c r="O81" s="411"/>
      <c r="R81" s="57"/>
    </row>
    <row r="82" spans="4:18" ht="15.6" thickTop="1" thickBot="1" x14ac:dyDescent="0.35">
      <c r="D82" s="418"/>
      <c r="E82" s="607" t="s">
        <v>70</v>
      </c>
      <c r="F82" s="607"/>
      <c r="G82" s="607"/>
      <c r="H82" s="414"/>
      <c r="I82" s="419">
        <f>+I81/K81</f>
        <v>0.75365177195685673</v>
      </c>
      <c r="J82" s="410"/>
      <c r="K82" s="410"/>
      <c r="L82" s="410"/>
      <c r="M82" s="410"/>
      <c r="N82" s="420">
        <f>+N81/K81</f>
        <v>0.2463482280431433</v>
      </c>
      <c r="O82" s="411"/>
    </row>
    <row r="83" spans="4:18" ht="15.6" thickTop="1" thickBot="1" x14ac:dyDescent="0.35">
      <c r="D83" s="421"/>
      <c r="E83" s="422"/>
      <c r="F83" s="422"/>
      <c r="G83" s="422"/>
      <c r="H83" s="422"/>
      <c r="I83" s="423"/>
      <c r="J83" s="424"/>
      <c r="K83" s="425"/>
      <c r="L83" s="425"/>
      <c r="M83" s="425"/>
      <c r="N83" s="425"/>
      <c r="O83" s="426"/>
    </row>
    <row r="84" spans="4:18" ht="15" thickBot="1" x14ac:dyDescent="0.35">
      <c r="D84" s="90"/>
      <c r="E84" s="152"/>
      <c r="F84" s="152"/>
      <c r="G84" s="152"/>
      <c r="H84" s="152"/>
      <c r="I84" s="356"/>
      <c r="J84" s="90"/>
      <c r="K84" s="110"/>
      <c r="L84" s="110"/>
      <c r="M84" s="362"/>
      <c r="N84" s="110"/>
      <c r="O84" s="110"/>
    </row>
    <row r="85" spans="4:18" ht="16.2" thickBot="1" x14ac:dyDescent="0.35">
      <c r="D85" s="427"/>
      <c r="E85" s="584" t="s">
        <v>133</v>
      </c>
      <c r="F85" s="585"/>
      <c r="G85" s="585"/>
      <c r="H85" s="585"/>
      <c r="I85" s="585"/>
      <c r="J85" s="586"/>
      <c r="K85" s="428"/>
      <c r="L85" s="440" t="s">
        <v>10</v>
      </c>
      <c r="M85" s="429"/>
      <c r="N85" s="110"/>
      <c r="O85" s="110"/>
    </row>
    <row r="86" spans="4:18" x14ac:dyDescent="0.3">
      <c r="D86" s="406"/>
      <c r="E86" s="430" t="s">
        <v>89</v>
      </c>
      <c r="F86" s="16"/>
      <c r="G86" s="16"/>
      <c r="H86" s="16"/>
      <c r="I86" s="587">
        <f>+K81</f>
        <v>48675</v>
      </c>
      <c r="J86" s="587"/>
      <c r="K86" s="16"/>
      <c r="L86" s="60">
        <f>+I86/$I$86</f>
        <v>1</v>
      </c>
      <c r="M86" s="431"/>
      <c r="N86" s="110"/>
      <c r="O86" s="110"/>
    </row>
    <row r="87" spans="4:18" x14ac:dyDescent="0.3">
      <c r="D87" s="406"/>
      <c r="E87" s="430"/>
      <c r="F87" s="16"/>
      <c r="G87" s="16"/>
      <c r="H87" s="16"/>
      <c r="I87" s="16"/>
      <c r="J87" s="16"/>
      <c r="K87" s="16"/>
      <c r="L87" s="16"/>
      <c r="M87" s="431"/>
      <c r="N87" s="110"/>
      <c r="O87" s="110"/>
    </row>
    <row r="88" spans="4:18" x14ac:dyDescent="0.3">
      <c r="D88" s="418"/>
      <c r="E88" s="15"/>
      <c r="F88" s="432" t="s">
        <v>114</v>
      </c>
      <c r="G88" s="432"/>
      <c r="H88" s="15"/>
      <c r="I88" s="588">
        <f>+I81</f>
        <v>36684</v>
      </c>
      <c r="J88" s="589"/>
      <c r="K88" s="15"/>
      <c r="L88" s="60">
        <f>+I88/$I$86</f>
        <v>0.75365177195685673</v>
      </c>
      <c r="M88" s="411"/>
      <c r="N88" s="110"/>
      <c r="O88" s="110"/>
    </row>
    <row r="89" spans="4:18" x14ac:dyDescent="0.3">
      <c r="D89" s="418"/>
      <c r="E89" s="15"/>
      <c r="F89" s="15" t="s">
        <v>90</v>
      </c>
      <c r="G89" s="15"/>
      <c r="H89" s="15"/>
      <c r="I89" s="590">
        <f>+I75</f>
        <v>2144</v>
      </c>
      <c r="J89" s="591"/>
      <c r="K89" s="15"/>
      <c r="L89" s="60">
        <f>+I89/$I$86</f>
        <v>4.4047252182845401E-2</v>
      </c>
      <c r="M89" s="411"/>
      <c r="N89" s="110"/>
      <c r="O89" s="110"/>
    </row>
    <row r="90" spans="4:18" ht="15" thickBot="1" x14ac:dyDescent="0.35">
      <c r="D90" s="418"/>
      <c r="E90" s="593" t="s">
        <v>115</v>
      </c>
      <c r="F90" s="593"/>
      <c r="G90" s="593"/>
      <c r="H90" s="15"/>
      <c r="I90" s="594">
        <f>+I86-I88-I89</f>
        <v>9847</v>
      </c>
      <c r="J90" s="595"/>
      <c r="K90" s="433"/>
      <c r="L90" s="434">
        <f>+I90/$I$86</f>
        <v>0.20230097586029788</v>
      </c>
      <c r="M90" s="411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8"/>
      <c r="E91" s="435"/>
      <c r="F91" s="435"/>
      <c r="G91" s="435"/>
      <c r="H91" s="15"/>
      <c r="I91" s="436"/>
      <c r="J91" s="435"/>
      <c r="K91" s="433"/>
      <c r="L91" s="437"/>
      <c r="M91" s="411"/>
      <c r="N91" s="110"/>
      <c r="O91" s="110"/>
    </row>
    <row r="92" spans="4:18" ht="15" thickBot="1" x14ac:dyDescent="0.35">
      <c r="D92" s="438"/>
      <c r="E92" s="439"/>
      <c r="F92" s="439"/>
      <c r="G92" s="439"/>
      <c r="H92" s="439"/>
      <c r="I92" s="439"/>
      <c r="J92" s="439"/>
      <c r="K92" s="439"/>
      <c r="L92" s="439"/>
      <c r="M92" s="426"/>
      <c r="N92" s="110"/>
      <c r="O92" s="110"/>
    </row>
    <row r="93" spans="4:18" ht="15" thickBot="1" x14ac:dyDescent="0.35"/>
    <row r="94" spans="4:18" ht="15" thickBot="1" x14ac:dyDescent="0.35">
      <c r="E94" s="596" t="s">
        <v>120</v>
      </c>
      <c r="F94" s="597"/>
      <c r="G94" s="597"/>
      <c r="H94" s="597"/>
      <c r="I94" s="597"/>
      <c r="J94" s="597"/>
      <c r="K94" s="597"/>
      <c r="L94" s="597"/>
      <c r="M94" s="598"/>
    </row>
    <row r="95" spans="4:18" x14ac:dyDescent="0.3">
      <c r="E95" s="441"/>
      <c r="F95" s="442" t="s">
        <v>121</v>
      </c>
      <c r="G95" s="442"/>
      <c r="H95" s="442"/>
      <c r="I95" s="599">
        <v>21477737</v>
      </c>
      <c r="J95" s="599"/>
      <c r="K95" s="599"/>
      <c r="L95" s="599"/>
      <c r="M95" s="443"/>
    </row>
    <row r="96" spans="4:18" x14ac:dyDescent="0.3">
      <c r="E96" s="441"/>
      <c r="F96" s="442" t="s">
        <v>111</v>
      </c>
      <c r="G96" s="442"/>
      <c r="H96" s="442"/>
      <c r="I96" s="442"/>
      <c r="J96" s="442"/>
      <c r="K96" s="442"/>
      <c r="L96" s="444">
        <f>+I90/I95</f>
        <v>4.5847474526762295E-4</v>
      </c>
      <c r="M96" s="443"/>
    </row>
    <row r="97" spans="5:13" x14ac:dyDescent="0.3">
      <c r="E97" s="441"/>
      <c r="F97" s="592" t="s">
        <v>109</v>
      </c>
      <c r="G97" s="592"/>
      <c r="H97" s="442"/>
      <c r="I97" s="442"/>
      <c r="J97" s="442"/>
      <c r="K97" s="442"/>
      <c r="L97" s="445">
        <f>+I90/(I95/100000)</f>
        <v>45.847474526762298</v>
      </c>
      <c r="M97" s="443"/>
    </row>
    <row r="98" spans="5:13" x14ac:dyDescent="0.3">
      <c r="E98" s="441"/>
      <c r="F98" s="446"/>
      <c r="G98" s="446"/>
      <c r="H98" s="442"/>
      <c r="I98" s="442"/>
      <c r="J98" s="442"/>
      <c r="K98" s="442"/>
      <c r="L98" s="445"/>
      <c r="M98" s="443"/>
    </row>
    <row r="99" spans="5:13" x14ac:dyDescent="0.3">
      <c r="E99" s="441"/>
      <c r="F99" s="446" t="s">
        <v>122</v>
      </c>
      <c r="G99" s="446"/>
      <c r="H99" s="592" t="s">
        <v>123</v>
      </c>
      <c r="I99" s="592"/>
      <c r="J99" s="442"/>
      <c r="K99" s="442"/>
      <c r="L99" s="445"/>
      <c r="M99" s="443"/>
    </row>
    <row r="100" spans="5:13" ht="15" thickBot="1" x14ac:dyDescent="0.35">
      <c r="E100" s="447"/>
      <c r="F100" s="448"/>
      <c r="G100" s="448"/>
      <c r="H100" s="448"/>
      <c r="I100" s="448"/>
      <c r="J100" s="448"/>
      <c r="K100" s="448"/>
      <c r="L100" s="448"/>
      <c r="M100" s="449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83" t="s">
        <v>5</v>
      </c>
      <c r="C1" s="483"/>
      <c r="D1" s="483"/>
    </row>
    <row r="2" spans="2:31" ht="15.6" x14ac:dyDescent="0.3">
      <c r="B2" s="483" t="s">
        <v>6</v>
      </c>
      <c r="C2" s="483"/>
      <c r="D2" s="483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84</v>
      </c>
      <c r="F5" s="259" t="s">
        <v>85</v>
      </c>
    </row>
    <row r="6" spans="2:31" ht="15.6" x14ac:dyDescent="0.3">
      <c r="B6" s="169"/>
      <c r="C6" s="169"/>
      <c r="D6" s="168"/>
      <c r="F6" t="s">
        <v>88</v>
      </c>
    </row>
    <row r="7" spans="2:31" ht="15.6" x14ac:dyDescent="0.3">
      <c r="B7" s="169"/>
      <c r="C7" s="169"/>
      <c r="D7" s="168"/>
      <c r="F7" s="259" t="s">
        <v>87</v>
      </c>
    </row>
    <row r="8" spans="2:31" ht="15.6" x14ac:dyDescent="0.3">
      <c r="B8" s="169"/>
      <c r="C8" s="169"/>
      <c r="D8" s="168"/>
      <c r="F8" s="259" t="s">
        <v>86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10" t="s">
        <v>23</v>
      </c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2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Table'!J103</f>
        <v>1.1587072539453493E-2</v>
      </c>
      <c r="U14" s="231"/>
      <c r="V14" s="1"/>
      <c r="X14" s="235"/>
      <c r="Y14" s="609" t="s">
        <v>62</v>
      </c>
      <c r="Z14" s="609"/>
      <c r="AA14" s="609"/>
      <c r="AB14" s="609"/>
      <c r="AC14" s="609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86424.941542408211</v>
      </c>
      <c r="Q15" s="81"/>
      <c r="R15" s="81"/>
      <c r="S15" s="81"/>
      <c r="T15" s="82">
        <f t="shared" ref="T15:T59" si="5">+T14</f>
        <v>1.1587072539453493E-2</v>
      </c>
      <c r="U15" s="231"/>
      <c r="V15" s="1"/>
      <c r="X15" s="237"/>
      <c r="Y15" s="238" t="s">
        <v>63</v>
      </c>
      <c r="Z15" s="239"/>
      <c r="AA15" s="238" t="s">
        <v>64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87426.353609278129</v>
      </c>
      <c r="Q16" s="81"/>
      <c r="R16" s="81"/>
      <c r="S16" s="81"/>
      <c r="T16" s="82">
        <f t="shared" si="5"/>
        <v>1.1587072539453493E-2</v>
      </c>
      <c r="U16" s="231"/>
      <c r="V16" s="1"/>
      <c r="X16" s="237"/>
      <c r="Y16" s="243" t="s">
        <v>59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88439.369110408748</v>
      </c>
      <c r="Q17" s="81"/>
      <c r="R17" s="81"/>
      <c r="S17" s="81"/>
      <c r="T17" s="82">
        <f t="shared" si="5"/>
        <v>1.1587072539453493E-2</v>
      </c>
      <c r="U17" s="231"/>
      <c r="V17" s="1"/>
      <c r="X17" s="237"/>
      <c r="Y17" s="246" t="s">
        <v>61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89464.122495634569</v>
      </c>
      <c r="Q18" s="81"/>
      <c r="R18" s="81"/>
      <c r="S18" s="81"/>
      <c r="T18" s="82">
        <f t="shared" si="5"/>
        <v>1.1587072539453493E-2</v>
      </c>
      <c r="U18" s="231"/>
      <c r="V18" s="1"/>
      <c r="X18" s="237"/>
      <c r="Y18" s="248" t="s">
        <v>65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90500.749772670053</v>
      </c>
      <c r="Q19" s="81"/>
      <c r="R19" s="81"/>
      <c r="S19" s="81"/>
      <c r="T19" s="82">
        <f t="shared" si="5"/>
        <v>1.1587072539453493E-2</v>
      </c>
      <c r="U19" s="231"/>
      <c r="V19" s="1"/>
      <c r="X19" s="249"/>
      <c r="Y19" s="250" t="s">
        <v>66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91549.388525160917</v>
      </c>
      <c r="Q20" s="81"/>
      <c r="R20" s="81"/>
      <c r="S20" s="81"/>
      <c r="T20" s="82">
        <f t="shared" si="5"/>
        <v>1.1587072539453493E-2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92610.17793094457</v>
      </c>
      <c r="Q21" s="81"/>
      <c r="R21" s="81"/>
      <c r="S21" s="81"/>
      <c r="T21" s="82">
        <f t="shared" si="5"/>
        <v>1.1587072539453493E-2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93683.258780522126</v>
      </c>
      <c r="Q22" s="81"/>
      <c r="R22" s="81"/>
      <c r="S22" s="81"/>
      <c r="T22" s="82">
        <f t="shared" si="5"/>
        <v>1.1587072539453493E-2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94768.773495744434</v>
      </c>
      <c r="Q23" s="81"/>
      <c r="R23" s="81"/>
      <c r="S23" s="81"/>
      <c r="T23" s="82">
        <f t="shared" si="5"/>
        <v>1.1587072539453493E-2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95866.866148714675</v>
      </c>
      <c r="Q24" s="81"/>
      <c r="R24" s="81"/>
      <c r="S24" s="81"/>
      <c r="T24" s="82">
        <f t="shared" si="5"/>
        <v>1.1587072539453493E-2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96977.68248090992</v>
      </c>
      <c r="Q25" s="81"/>
      <c r="R25" s="81"/>
      <c r="S25" s="81"/>
      <c r="T25" s="82">
        <f t="shared" si="5"/>
        <v>1.1587072539453493E-2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98101.369922524318</v>
      </c>
      <c r="Q26" s="81"/>
      <c r="R26" s="81"/>
      <c r="S26" s="81"/>
      <c r="T26" s="82">
        <f t="shared" si="5"/>
        <v>1.1587072539453493E-2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99238.077612036373</v>
      </c>
      <c r="Q27" s="81"/>
      <c r="R27" s="81"/>
      <c r="S27" s="81"/>
      <c r="T27" s="82">
        <f t="shared" si="5"/>
        <v>1.1587072539453493E-2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100387.95641600295</v>
      </c>
      <c r="Q28" s="81"/>
      <c r="R28" s="81"/>
      <c r="S28" s="81"/>
      <c r="T28" s="82">
        <f t="shared" si="5"/>
        <v>1.1587072539453493E-2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101551.15894908269</v>
      </c>
      <c r="Q29" s="81"/>
      <c r="R29" s="81"/>
      <c r="S29" s="81"/>
      <c r="T29" s="82">
        <f t="shared" si="5"/>
        <v>1.1587072539453493E-2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102727.83959429129</v>
      </c>
      <c r="Q30" s="81"/>
      <c r="R30" s="81"/>
      <c r="S30" s="81"/>
      <c r="T30" s="82">
        <f t="shared" si="5"/>
        <v>1.1587072539453493E-2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103918.1545234917</v>
      </c>
      <c r="Q31" s="81"/>
      <c r="R31" s="81"/>
      <c r="S31" s="81"/>
      <c r="T31" s="82">
        <f t="shared" si="5"/>
        <v>1.1587072539453493E-2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105122.26171812155</v>
      </c>
      <c r="Q32" s="81"/>
      <c r="R32" s="81"/>
      <c r="S32" s="81"/>
      <c r="T32" s="82">
        <f t="shared" si="5"/>
        <v>1.1587072539453493E-2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106340.32099016085</v>
      </c>
      <c r="Q33" s="81"/>
      <c r="R33" s="81"/>
      <c r="S33" s="81"/>
      <c r="T33" s="82">
        <f t="shared" si="5"/>
        <v>1.1587072539453493E-2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107572.49400334262</v>
      </c>
      <c r="Q34" s="81"/>
      <c r="R34" s="81"/>
      <c r="S34" s="81"/>
      <c r="T34" s="82">
        <f t="shared" si="5"/>
        <v>1.1587072539453493E-2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108818.94429460929</v>
      </c>
      <c r="Q35" s="81"/>
      <c r="R35" s="81"/>
      <c r="S35" s="81"/>
      <c r="T35" s="82">
        <f t="shared" si="5"/>
        <v>1.1587072539453493E-2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110079.83729581769</v>
      </c>
      <c r="Q36" s="81"/>
      <c r="R36" s="81"/>
      <c r="S36" s="81"/>
      <c r="T36" s="82">
        <f t="shared" si="5"/>
        <v>1.1587072539453493E-2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111355.34035569557</v>
      </c>
      <c r="Q37" s="81"/>
      <c r="R37" s="81"/>
      <c r="S37" s="81"/>
      <c r="T37" s="82">
        <f t="shared" si="5"/>
        <v>1.1587072539453493E-2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112645.62276205256</v>
      </c>
      <c r="Q38" s="81"/>
      <c r="R38" s="81"/>
      <c r="S38" s="81"/>
      <c r="T38" s="82">
        <f t="shared" si="5"/>
        <v>1.1587072539453493E-2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113950.85576424838</v>
      </c>
      <c r="Q39" s="81"/>
      <c r="R39" s="81"/>
      <c r="S39" s="81"/>
      <c r="T39" s="82">
        <f t="shared" si="5"/>
        <v>1.1587072539453493E-2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115271.21259592153</v>
      </c>
      <c r="Q40" s="81"/>
      <c r="R40" s="81"/>
      <c r="S40" s="81"/>
      <c r="T40" s="82">
        <f t="shared" si="5"/>
        <v>1.1587072539453493E-2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116606.86849798125</v>
      </c>
      <c r="Q41" s="81"/>
      <c r="R41" s="81"/>
      <c r="S41" s="81"/>
      <c r="T41" s="82">
        <f t="shared" si="5"/>
        <v>1.1587072539453493E-2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117958.00074186588</v>
      </c>
      <c r="Q42" s="81"/>
      <c r="R42" s="81"/>
      <c r="S42" s="81"/>
      <c r="T42" s="82">
        <f t="shared" si="5"/>
        <v>1.1587072539453493E-2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119324.78865307079</v>
      </c>
      <c r="Q43" s="81"/>
      <c r="R43" s="81"/>
      <c r="S43" s="81"/>
      <c r="T43" s="82">
        <f t="shared" si="5"/>
        <v>1.1587072539453493E-2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120707.41363494888</v>
      </c>
      <c r="Q44" s="81"/>
      <c r="R44" s="81"/>
      <c r="S44" s="81"/>
      <c r="T44" s="82">
        <f t="shared" si="5"/>
        <v>1.1587072539453493E-2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122106.05919278687</v>
      </c>
      <c r="Q45" s="81"/>
      <c r="R45" s="81"/>
      <c r="S45" s="81"/>
      <c r="T45" s="82">
        <f t="shared" si="5"/>
        <v>1.1587072539453493E-2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123520.9109581605</v>
      </c>
      <c r="Q46" s="81"/>
      <c r="R46" s="81"/>
      <c r="S46" s="81"/>
      <c r="T46" s="82">
        <f t="shared" si="5"/>
        <v>1.1587072539453493E-2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124952.1567135721</v>
      </c>
      <c r="Q47" s="81"/>
      <c r="R47" s="81"/>
      <c r="S47" s="81"/>
      <c r="T47" s="82">
        <f t="shared" si="5"/>
        <v>1.1587072539453493E-2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126399.98641737342</v>
      </c>
      <c r="Q48" s="81"/>
      <c r="R48" s="81"/>
      <c r="S48" s="81"/>
      <c r="T48" s="82">
        <f t="shared" si="5"/>
        <v>1.1587072539453493E-2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127864.59222897748</v>
      </c>
      <c r="Q49" s="81"/>
      <c r="R49" s="81"/>
      <c r="S49" s="81"/>
      <c r="T49" s="82">
        <f t="shared" si="5"/>
        <v>1.1587072539453493E-2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129346.16853436228</v>
      </c>
      <c r="Q50" s="81"/>
      <c r="R50" s="81"/>
      <c r="S50" s="81"/>
      <c r="T50" s="82">
        <f t="shared" si="5"/>
        <v>1.1587072539453493E-2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130844.91197187033</v>
      </c>
      <c r="Q51" s="81"/>
      <c r="R51" s="81"/>
      <c r="S51" s="81"/>
      <c r="T51" s="82">
        <f t="shared" si="5"/>
        <v>1.1587072539453493E-2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132361.02145830682</v>
      </c>
      <c r="Q52" s="81"/>
      <c r="R52" s="81"/>
      <c r="S52" s="81"/>
      <c r="T52" s="82">
        <f t="shared" si="5"/>
        <v>1.1587072539453493E-2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133894.69821534038</v>
      </c>
      <c r="Q53" s="81"/>
      <c r="R53" s="81"/>
      <c r="S53" s="81"/>
      <c r="T53" s="82">
        <f t="shared" si="5"/>
        <v>1.1587072539453493E-2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135446.14579620978</v>
      </c>
      <c r="Q54" s="81"/>
      <c r="R54" s="81"/>
      <c r="S54" s="81"/>
      <c r="T54" s="82">
        <f t="shared" si="5"/>
        <v>1.1587072539453493E-2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137015.57011273986</v>
      </c>
      <c r="Q55" s="81"/>
      <c r="R55" s="81"/>
      <c r="S55" s="81"/>
      <c r="T55" s="82">
        <f t="shared" si="5"/>
        <v>1.1587072539453493E-2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138603.17946267076</v>
      </c>
      <c r="Q56" s="81"/>
      <c r="R56" s="81"/>
      <c r="S56" s="81"/>
      <c r="T56" s="82">
        <f t="shared" si="5"/>
        <v>1.1587072539453493E-2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140209.18455730361</v>
      </c>
      <c r="Q57" s="81"/>
      <c r="R57" s="81"/>
      <c r="S57" s="81"/>
      <c r="T57" s="82">
        <f t="shared" si="5"/>
        <v>1.1587072539453493E-2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141833.79854946671</v>
      </c>
      <c r="Q58" s="81"/>
      <c r="R58" s="81"/>
      <c r="S58" s="81"/>
      <c r="T58" s="82">
        <f t="shared" si="5"/>
        <v>1.1587072539453493E-2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143477.23706180562</v>
      </c>
      <c r="Q59" s="81"/>
      <c r="R59" s="81"/>
      <c r="S59" s="81"/>
      <c r="T59" s="82">
        <f t="shared" si="5"/>
        <v>1.1587072539453493E-2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2020-06-17T02:02:53Z</dcterms:modified>
</cp:coreProperties>
</file>