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A719056A-908C-46D0-9DD3-21655B2256DB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Table'!$A$1:$CI$96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91" i="2" l="1"/>
  <c r="BN95" i="1" l="1"/>
  <c r="BK95" i="1"/>
  <c r="BI95" i="1"/>
  <c r="BH95" i="1"/>
  <c r="BG95" i="1"/>
  <c r="BE95" i="1"/>
  <c r="BC95" i="1"/>
  <c r="BB95" i="1"/>
  <c r="BA95" i="1"/>
  <c r="AY95" i="1"/>
  <c r="AX95" i="1"/>
  <c r="AV95" i="1"/>
  <c r="AT95" i="1"/>
  <c r="AS95" i="1"/>
  <c r="AR95" i="1"/>
  <c r="AP95" i="1"/>
  <c r="AO95" i="1"/>
  <c r="AN95" i="1"/>
  <c r="AM95" i="1"/>
  <c r="AL95" i="1"/>
  <c r="AJ95" i="1"/>
  <c r="AI95" i="1"/>
  <c r="AG95" i="1"/>
  <c r="AE95" i="1"/>
  <c r="AC95" i="1"/>
  <c r="AA95" i="1"/>
  <c r="Y95" i="1"/>
  <c r="X95" i="1"/>
  <c r="W95" i="1"/>
  <c r="V95" i="1"/>
  <c r="U95" i="1"/>
  <c r="T95" i="1"/>
  <c r="S95" i="1"/>
  <c r="Q95" i="1"/>
  <c r="O95" i="1"/>
  <c r="M95" i="1"/>
  <c r="L95" i="1"/>
  <c r="K95" i="1"/>
  <c r="I95" i="1"/>
  <c r="BN94" i="1"/>
  <c r="BK94" i="1"/>
  <c r="BI94" i="1"/>
  <c r="BH94" i="1"/>
  <c r="BG94" i="1"/>
  <c r="BE94" i="1"/>
  <c r="BC94" i="1"/>
  <c r="BB94" i="1"/>
  <c r="BA94" i="1"/>
  <c r="AY94" i="1"/>
  <c r="AX94" i="1"/>
  <c r="AV94" i="1"/>
  <c r="AT94" i="1"/>
  <c r="AS94" i="1"/>
  <c r="AR94" i="1"/>
  <c r="AP94" i="1"/>
  <c r="AO94" i="1"/>
  <c r="AN94" i="1"/>
  <c r="AM94" i="1"/>
  <c r="AL94" i="1"/>
  <c r="AJ94" i="1"/>
  <c r="AI94" i="1"/>
  <c r="AG94" i="1"/>
  <c r="AE94" i="1"/>
  <c r="AC94" i="1"/>
  <c r="AA94" i="1"/>
  <c r="Z94" i="1"/>
  <c r="Y94" i="1"/>
  <c r="X94" i="1"/>
  <c r="W94" i="1"/>
  <c r="V94" i="1"/>
  <c r="U94" i="1"/>
  <c r="T94" i="1"/>
  <c r="S94" i="1"/>
  <c r="Q94" i="1"/>
  <c r="O94" i="1"/>
  <c r="M94" i="1"/>
  <c r="L94" i="1"/>
  <c r="K94" i="1"/>
  <c r="I94" i="1"/>
  <c r="D95" i="1"/>
  <c r="D94" i="1"/>
  <c r="BV90" i="1"/>
  <c r="BM90" i="1" s="1"/>
  <c r="BM94" i="1" s="1"/>
  <c r="BD90" i="1"/>
  <c r="BD94" i="1" s="1"/>
  <c r="AZ90" i="1"/>
  <c r="BJ90" i="1" s="1"/>
  <c r="AW90" i="1"/>
  <c r="AW95" i="1" s="1"/>
  <c r="AK90" i="1"/>
  <c r="AQ90" i="1" s="1"/>
  <c r="AQ95" i="1" s="1"/>
  <c r="AF90" i="1"/>
  <c r="AH90" i="1" s="1"/>
  <c r="AH95" i="1" s="1"/>
  <c r="Z90" i="1"/>
  <c r="P90" i="1"/>
  <c r="R90" i="1" s="1"/>
  <c r="R94" i="1" s="1"/>
  <c r="J90" i="1"/>
  <c r="J94" i="1" s="1"/>
  <c r="H90" i="1"/>
  <c r="AU90" i="1" s="1"/>
  <c r="AU94" i="1" s="1"/>
  <c r="S99" i="2"/>
  <c r="R99" i="2"/>
  <c r="P99" i="2"/>
  <c r="O99" i="2"/>
  <c r="N99" i="2"/>
  <c r="L99" i="2"/>
  <c r="J99" i="2"/>
  <c r="I99" i="2"/>
  <c r="H99" i="2"/>
  <c r="G99" i="2"/>
  <c r="E99" i="2"/>
  <c r="K91" i="2"/>
  <c r="M91" i="2" s="1"/>
  <c r="M99" i="2" s="1"/>
  <c r="W91" i="2"/>
  <c r="W92" i="2" s="1"/>
  <c r="W93" i="2" s="1"/>
  <c r="W94" i="2" s="1"/>
  <c r="W95" i="2" s="1"/>
  <c r="W96" i="2" s="1"/>
  <c r="W97" i="2" s="1"/>
  <c r="C91" i="2"/>
  <c r="C92" i="2" s="1"/>
  <c r="C93" i="2" s="1"/>
  <c r="C94" i="2" s="1"/>
  <c r="C95" i="2" s="1"/>
  <c r="C96" i="2" s="1"/>
  <c r="C97" i="2" s="1"/>
  <c r="I20" i="3"/>
  <c r="BM95" i="1" l="1"/>
  <c r="AK95" i="1"/>
  <c r="AW94" i="1"/>
  <c r="K99" i="2"/>
  <c r="AZ94" i="1"/>
  <c r="AQ94" i="1"/>
  <c r="AD90" i="1"/>
  <c r="V98" i="1"/>
  <c r="Z98" i="1"/>
  <c r="P95" i="1"/>
  <c r="BL90" i="1"/>
  <c r="BL95" i="1" s="1"/>
  <c r="BJ94" i="1"/>
  <c r="AZ95" i="1"/>
  <c r="BJ95" i="1"/>
  <c r="BJ97" i="1" s="1"/>
  <c r="AK94" i="1"/>
  <c r="AF94" i="1"/>
  <c r="AH94" i="1"/>
  <c r="AF95" i="1"/>
  <c r="Z95" i="1"/>
  <c r="AU95" i="1"/>
  <c r="BD95" i="1"/>
  <c r="N90" i="1"/>
  <c r="J95" i="1"/>
  <c r="H94" i="1"/>
  <c r="P94" i="1"/>
  <c r="H95" i="1"/>
  <c r="R95" i="1"/>
  <c r="BF90" i="1"/>
  <c r="BO90" i="1"/>
  <c r="AB90" i="1"/>
  <c r="U91" i="2"/>
  <c r="Q91" i="2"/>
  <c r="Q99" i="2" s="1"/>
  <c r="S89" i="2"/>
  <c r="U90" i="2"/>
  <c r="S90" i="2"/>
  <c r="K90" i="2"/>
  <c r="BJ82" i="1"/>
  <c r="BL82" i="1" s="1"/>
  <c r="BL75" i="1"/>
  <c r="BJ75" i="1"/>
  <c r="BJ68" i="1"/>
  <c r="BL68" i="1" s="1"/>
  <c r="BJ61" i="1"/>
  <c r="BL61" i="1" s="1"/>
  <c r="BJ54" i="1"/>
  <c r="BL54" i="1" s="1"/>
  <c r="BJ47" i="1"/>
  <c r="BL47" i="1" s="1"/>
  <c r="BJ40" i="1"/>
  <c r="BL40" i="1" s="1"/>
  <c r="AF82" i="1"/>
  <c r="AH82" i="1" s="1"/>
  <c r="AF75" i="1"/>
  <c r="AH75" i="1" s="1"/>
  <c r="AF68" i="1"/>
  <c r="AH68" i="1" s="1"/>
  <c r="AH61" i="1"/>
  <c r="AF61" i="1"/>
  <c r="AF54" i="1"/>
  <c r="AH54" i="1" s="1"/>
  <c r="AF47" i="1"/>
  <c r="AH47" i="1" s="1"/>
  <c r="AH40" i="1"/>
  <c r="AF40" i="1"/>
  <c r="AF26" i="1"/>
  <c r="AF33" i="1"/>
  <c r="R82" i="1"/>
  <c r="P82" i="1"/>
  <c r="P75" i="1"/>
  <c r="R75" i="1" s="1"/>
  <c r="P68" i="1"/>
  <c r="R68" i="1" s="1"/>
  <c r="P61" i="1"/>
  <c r="R61" i="1" s="1"/>
  <c r="P54" i="1"/>
  <c r="R54" i="1" s="1"/>
  <c r="P47" i="1"/>
  <c r="R47" i="1" s="1"/>
  <c r="P40" i="1"/>
  <c r="R40" i="1" s="1"/>
  <c r="R33" i="1"/>
  <c r="P33" i="1"/>
  <c r="P26" i="1"/>
  <c r="BV89" i="1"/>
  <c r="BM89" i="1"/>
  <c r="BD89" i="1"/>
  <c r="AZ89" i="1"/>
  <c r="AW89" i="1"/>
  <c r="AK89" i="1"/>
  <c r="AQ89" i="1" s="1"/>
  <c r="AF89" i="1"/>
  <c r="P89" i="1"/>
  <c r="R89" i="1" s="1"/>
  <c r="AD95" i="1" l="1"/>
  <c r="AD94" i="1"/>
  <c r="BL94" i="1"/>
  <c r="BF94" i="1"/>
  <c r="BF95" i="1"/>
  <c r="AB94" i="1"/>
  <c r="AB95" i="1"/>
  <c r="BQ90" i="1"/>
  <c r="BO95" i="1"/>
  <c r="BO94" i="1"/>
  <c r="N95" i="1"/>
  <c r="N94" i="1"/>
  <c r="AH89" i="1"/>
  <c r="AH33" i="1"/>
  <c r="BF89" i="1"/>
  <c r="BM88" i="1"/>
  <c r="BD88" i="1"/>
  <c r="AZ88" i="1"/>
  <c r="AW88" i="1"/>
  <c r="AK88" i="1"/>
  <c r="AQ88" i="1" s="1"/>
  <c r="Z88" i="1"/>
  <c r="Z89" i="1" s="1"/>
  <c r="AD89" i="1" s="1"/>
  <c r="J88" i="1"/>
  <c r="H88" i="1"/>
  <c r="K89" i="2"/>
  <c r="Q89" i="2" s="1"/>
  <c r="Q90" i="2" l="1"/>
  <c r="M90" i="2"/>
  <c r="X89" i="2"/>
  <c r="Y90" i="2" s="1"/>
  <c r="Y96" i="2" s="1"/>
  <c r="Y97" i="2" s="1"/>
  <c r="BJ89" i="1"/>
  <c r="BL89" i="1" s="1"/>
  <c r="N88" i="1"/>
  <c r="J89" i="1"/>
  <c r="H89" i="1"/>
  <c r="AB88" i="1"/>
  <c r="BF88" i="1"/>
  <c r="BO88" i="1"/>
  <c r="BO89" i="1" s="1"/>
  <c r="BQ89" i="1" s="1"/>
  <c r="AU88" i="1"/>
  <c r="AD88" i="1"/>
  <c r="M89" i="2"/>
  <c r="U89" i="2"/>
  <c r="S88" i="2"/>
  <c r="N89" i="1" l="1"/>
  <c r="AU89" i="1"/>
  <c r="AB89" i="1"/>
  <c r="BQ88" i="1"/>
  <c r="BM87" i="1"/>
  <c r="BD87" i="1"/>
  <c r="BO87" i="1" s="1"/>
  <c r="BQ87" i="1" s="1"/>
  <c r="AZ87" i="1"/>
  <c r="AW87" i="1"/>
  <c r="AK87" i="1"/>
  <c r="AQ87" i="1" s="1"/>
  <c r="Z87" i="1"/>
  <c r="AD87" i="1" s="1"/>
  <c r="J87" i="1"/>
  <c r="H87" i="1"/>
  <c r="AU87" i="1" s="1"/>
  <c r="K88" i="2"/>
  <c r="Q88" i="2" s="1"/>
  <c r="AB87" i="1" l="1"/>
  <c r="BF87" i="1"/>
  <c r="N87" i="1"/>
  <c r="U88" i="2"/>
  <c r="M88" i="2"/>
  <c r="S87" i="2"/>
  <c r="U87" i="2"/>
  <c r="Q87" i="2"/>
  <c r="M87" i="2"/>
  <c r="K87" i="2"/>
  <c r="BV87" i="1"/>
  <c r="BV88" i="1" s="1"/>
  <c r="BV91" i="1" s="1"/>
  <c r="BV92" i="1" s="1"/>
  <c r="B87" i="1"/>
  <c r="B88" i="1" s="1"/>
  <c r="B89" i="1" s="1"/>
  <c r="B90" i="1" s="1"/>
  <c r="B91" i="1" s="1"/>
  <c r="B92" i="1" s="1"/>
  <c r="BD86" i="1"/>
  <c r="AZ86" i="1"/>
  <c r="AK86" i="1"/>
  <c r="AQ86" i="1" s="1"/>
  <c r="BF86" i="1" l="1"/>
  <c r="S86" i="2"/>
  <c r="BD85" i="1" l="1"/>
  <c r="AZ85" i="1"/>
  <c r="AK85" i="1"/>
  <c r="AQ85" i="1" s="1"/>
  <c r="K86" i="2"/>
  <c r="Q86" i="2" s="1"/>
  <c r="BF85" i="1" l="1"/>
  <c r="U86" i="2"/>
  <c r="M86" i="2"/>
  <c r="S85" i="2"/>
  <c r="K85" i="2" l="1"/>
  <c r="Q85" i="2" s="1"/>
  <c r="BD84" i="1"/>
  <c r="AZ84" i="1"/>
  <c r="AK84" i="1"/>
  <c r="AQ84" i="1" s="1"/>
  <c r="T39" i="3"/>
  <c r="T40" i="3" s="1"/>
  <c r="T41" i="3" s="1"/>
  <c r="T42" i="3" s="1"/>
  <c r="T43" i="3" s="1"/>
  <c r="T44" i="3" s="1"/>
  <c r="T45" i="3" s="1"/>
  <c r="T46" i="3" s="1"/>
  <c r="T47" i="3" s="1"/>
  <c r="T48" i="3" s="1"/>
  <c r="T49" i="3" s="1"/>
  <c r="T50" i="3" s="1"/>
  <c r="U85" i="2" l="1"/>
  <c r="M85" i="2"/>
  <c r="BF84" i="1"/>
  <c r="BD83" i="1" l="1"/>
  <c r="AZ83" i="1"/>
  <c r="AK83" i="1"/>
  <c r="AQ83" i="1" s="1"/>
  <c r="S84" i="2"/>
  <c r="K84" i="2"/>
  <c r="Q84" i="2" s="1"/>
  <c r="F119" i="3"/>
  <c r="F116" i="3"/>
  <c r="S83" i="2"/>
  <c r="BF83" i="1" l="1"/>
  <c r="U84" i="2"/>
  <c r="M84" i="2"/>
  <c r="V78" i="1" l="1"/>
  <c r="K83" i="2"/>
  <c r="U83" i="2" s="1"/>
  <c r="BD82" i="1"/>
  <c r="AZ82" i="1"/>
  <c r="AK82" i="1"/>
  <c r="S82" i="2"/>
  <c r="K82" i="2"/>
  <c r="M82" i="2" s="1"/>
  <c r="BD81" i="1"/>
  <c r="AZ81" i="1"/>
  <c r="AK81" i="1"/>
  <c r="AQ82" i="1" l="1"/>
  <c r="BF82" i="1"/>
  <c r="M83" i="2"/>
  <c r="Q83" i="2"/>
  <c r="U82" i="2"/>
  <c r="Q82" i="2"/>
  <c r="AQ81" i="1"/>
  <c r="BF81" i="1"/>
  <c r="AK80" i="1"/>
  <c r="AQ80" i="1" s="1"/>
  <c r="U81" i="2"/>
  <c r="S81" i="2"/>
  <c r="Q81" i="2"/>
  <c r="M81" i="2"/>
  <c r="K81" i="2"/>
  <c r="BD80" i="1"/>
  <c r="AZ80" i="1"/>
  <c r="BF80" i="1" l="1"/>
  <c r="S80" i="2"/>
  <c r="K80" i="2"/>
  <c r="U80" i="2" s="1"/>
  <c r="BD79" i="1"/>
  <c r="AZ79" i="1"/>
  <c r="AK79" i="1"/>
  <c r="AQ79" i="1" l="1"/>
  <c r="M80" i="2"/>
  <c r="Q80" i="2"/>
  <c r="BF79" i="1"/>
  <c r="S79" i="2"/>
  <c r="K79" i="2" l="1"/>
  <c r="M79" i="2" s="1"/>
  <c r="BD78" i="1"/>
  <c r="AZ78" i="1"/>
  <c r="AK78" i="1"/>
  <c r="AQ78" i="1" s="1"/>
  <c r="U79" i="2" l="1"/>
  <c r="Q79" i="2"/>
  <c r="BF78" i="1"/>
  <c r="S78" i="2" l="1"/>
  <c r="BD77" i="1"/>
  <c r="AZ77" i="1"/>
  <c r="AK77" i="1"/>
  <c r="AQ77" i="1" s="1"/>
  <c r="K78" i="2"/>
  <c r="Q78" i="2" s="1"/>
  <c r="BF77" i="1" l="1"/>
  <c r="U78" i="2"/>
  <c r="M78" i="2"/>
  <c r="BD76" i="1"/>
  <c r="AZ76" i="1"/>
  <c r="AK76" i="1"/>
  <c r="AQ76" i="1" s="1"/>
  <c r="S77" i="2"/>
  <c r="K77" i="2"/>
  <c r="Q77" i="2" s="1"/>
  <c r="BF76" i="1" l="1"/>
  <c r="U77" i="2"/>
  <c r="M77" i="2"/>
  <c r="S76" i="2"/>
  <c r="D123" i="1" l="1"/>
  <c r="BD75" i="1"/>
  <c r="AZ75" i="1"/>
  <c r="AK75" i="1"/>
  <c r="AQ75" i="1" s="1"/>
  <c r="K76" i="2"/>
  <c r="M76" i="2" s="1"/>
  <c r="BF75" i="1" l="1"/>
  <c r="U76" i="2"/>
  <c r="Q76" i="2"/>
  <c r="D127" i="1"/>
  <c r="D126" i="1"/>
  <c r="S75" i="2" l="1"/>
  <c r="BD74" i="1"/>
  <c r="AZ74" i="1"/>
  <c r="AK74" i="1"/>
  <c r="AQ74" i="1" s="1"/>
  <c r="K75" i="2"/>
  <c r="Q75" i="2" s="1"/>
  <c r="BF74" i="1" l="1"/>
  <c r="U75" i="2"/>
  <c r="M75" i="2"/>
  <c r="S74" i="2"/>
  <c r="K74" i="2"/>
  <c r="Q74" i="2" s="1"/>
  <c r="BD73" i="1"/>
  <c r="AZ73" i="1"/>
  <c r="AK73" i="1"/>
  <c r="AQ73" i="1" l="1"/>
  <c r="U74" i="2"/>
  <c r="M74" i="2"/>
  <c r="BF73" i="1"/>
  <c r="D109" i="1"/>
  <c r="I60" i="3"/>
  <c r="S73" i="2" l="1"/>
  <c r="K73" i="2"/>
  <c r="Q73" i="2" s="1"/>
  <c r="S72" i="2"/>
  <c r="BD72" i="1"/>
  <c r="AZ72" i="1"/>
  <c r="AK72" i="1"/>
  <c r="AQ72" i="1" s="1"/>
  <c r="BF72" i="1" l="1"/>
  <c r="U73" i="2"/>
  <c r="M73" i="2"/>
  <c r="K72" i="2"/>
  <c r="Q72" i="2" s="1"/>
  <c r="BD71" i="1"/>
  <c r="AZ71" i="1"/>
  <c r="AK71" i="1"/>
  <c r="AQ71" i="1" s="1"/>
  <c r="U72" i="2" l="1"/>
  <c r="M72" i="2"/>
  <c r="BF71" i="1"/>
  <c r="S71" i="2"/>
  <c r="K71" i="2"/>
  <c r="Q71" i="2" s="1"/>
  <c r="U71" i="2" l="1"/>
  <c r="M71" i="2"/>
  <c r="BD70" i="1"/>
  <c r="AZ70" i="1"/>
  <c r="AK70" i="1"/>
  <c r="AQ70" i="1" s="1"/>
  <c r="BF70" i="1" l="1"/>
  <c r="S70" i="2"/>
  <c r="K70" i="2" l="1"/>
  <c r="Q70" i="2" s="1"/>
  <c r="BD69" i="1"/>
  <c r="AZ69" i="1"/>
  <c r="AK69" i="1"/>
  <c r="AQ69" i="1" s="1"/>
  <c r="U70" i="2" l="1"/>
  <c r="M70" i="2"/>
  <c r="BF69" i="1"/>
  <c r="S69" i="2"/>
  <c r="K69" i="2" l="1"/>
  <c r="Q69" i="2" s="1"/>
  <c r="BD68" i="1"/>
  <c r="AZ68" i="1"/>
  <c r="AK68" i="1"/>
  <c r="AQ68" i="1" s="1"/>
  <c r="U69" i="2" l="1"/>
  <c r="M69" i="2"/>
  <c r="BF68" i="1"/>
  <c r="S68" i="2"/>
  <c r="D65" i="1"/>
  <c r="Q67" i="2"/>
  <c r="K68" i="2"/>
  <c r="M68" i="2" s="1"/>
  <c r="BD67" i="1"/>
  <c r="AZ67" i="1"/>
  <c r="AK67" i="1"/>
  <c r="AQ67" i="1" l="1"/>
  <c r="Q68" i="2"/>
  <c r="U68" i="2"/>
  <c r="BF67" i="1"/>
  <c r="D117" i="1" l="1"/>
  <c r="S67" i="2"/>
  <c r="K67" i="2"/>
  <c r="BD66" i="1"/>
  <c r="AZ66" i="1"/>
  <c r="AK66" i="1"/>
  <c r="AQ66" i="1" s="1"/>
  <c r="U67" i="2" l="1"/>
  <c r="M67" i="2"/>
  <c r="BF66" i="1"/>
  <c r="S66" i="2"/>
  <c r="K66" i="2" l="1"/>
  <c r="Q66" i="2" s="1"/>
  <c r="BD65" i="1"/>
  <c r="AZ65" i="1"/>
  <c r="AK65" i="1"/>
  <c r="AQ65" i="1" l="1"/>
  <c r="U66" i="2"/>
  <c r="M66" i="2"/>
  <c r="BF65" i="1"/>
  <c r="S65" i="2" l="1"/>
  <c r="I89" i="3" l="1"/>
  <c r="I86" i="3"/>
  <c r="L86" i="3" s="1"/>
  <c r="I78" i="3"/>
  <c r="I80" i="3" s="1"/>
  <c r="I77" i="3"/>
  <c r="BD64" i="1"/>
  <c r="AZ64" i="1"/>
  <c r="AK64" i="1"/>
  <c r="AQ64" i="1" s="1"/>
  <c r="K65" i="2"/>
  <c r="Q65" i="2" s="1"/>
  <c r="X19" i="3"/>
  <c r="L89" i="3" l="1"/>
  <c r="I79" i="3"/>
  <c r="I81" i="3" s="1"/>
  <c r="I82" i="3" s="1"/>
  <c r="BF64" i="1"/>
  <c r="U65" i="2"/>
  <c r="M65" i="2"/>
  <c r="S64" i="2"/>
  <c r="N81" i="3" l="1"/>
  <c r="N82" i="3" s="1"/>
  <c r="I88" i="3"/>
  <c r="L88" i="3" s="1"/>
  <c r="K64" i="2"/>
  <c r="Q64" i="2" s="1"/>
  <c r="BD63" i="1"/>
  <c r="AZ63" i="1"/>
  <c r="AK63" i="1"/>
  <c r="AQ63" i="1" s="1"/>
  <c r="X18" i="3"/>
  <c r="I90" i="3" l="1"/>
  <c r="P90" i="3" s="1"/>
  <c r="U64" i="2"/>
  <c r="M64" i="2"/>
  <c r="BF63" i="1"/>
  <c r="L97" i="3" l="1"/>
  <c r="L90" i="3"/>
  <c r="L96" i="3"/>
  <c r="S63" i="2"/>
  <c r="BD62" i="1"/>
  <c r="AZ62" i="1"/>
  <c r="AK62" i="1"/>
  <c r="AQ62" i="1" s="1"/>
  <c r="K63" i="2"/>
  <c r="M63" i="2" s="1"/>
  <c r="X17" i="3"/>
  <c r="BF62" i="1" l="1"/>
  <c r="U63" i="2"/>
  <c r="Q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Q62" i="2" s="1"/>
  <c r="X16" i="3"/>
  <c r="BF61" i="1" l="1"/>
  <c r="U62" i="2"/>
  <c r="M62" i="2"/>
  <c r="S61" i="2"/>
  <c r="X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Q61" i="2" l="1"/>
  <c r="U61" i="2"/>
  <c r="BD60" i="1"/>
  <c r="AZ60" i="1"/>
  <c r="AK60" i="1"/>
  <c r="I58" i="3"/>
  <c r="I55" i="3"/>
  <c r="L55" i="3" l="1"/>
  <c r="L58" i="3"/>
  <c r="AQ60" i="1"/>
  <c r="BF60" i="1"/>
  <c r="S60" i="2"/>
  <c r="T99" i="2"/>
  <c r="S59" i="2"/>
  <c r="K60" i="2"/>
  <c r="BD59" i="1"/>
  <c r="AZ59" i="1"/>
  <c r="AK59" i="1"/>
  <c r="AQ59" i="1" s="1"/>
  <c r="X14" i="3"/>
  <c r="U60" i="2" l="1"/>
  <c r="M60" i="2"/>
  <c r="BF59" i="1"/>
  <c r="D55" i="7"/>
  <c r="D56" i="7" s="1"/>
  <c r="D57" i="7" s="1"/>
  <c r="D58" i="7" s="1"/>
  <c r="D59" i="7" s="1"/>
  <c r="D60" i="7" s="1"/>
  <c r="K59" i="2"/>
  <c r="M59" i="2" s="1"/>
  <c r="X13" i="3"/>
  <c r="BD58" i="1"/>
  <c r="AZ58" i="1"/>
  <c r="AK58" i="1"/>
  <c r="AQ58" i="1" s="1"/>
  <c r="U59" i="2" l="1"/>
  <c r="BF58" i="1"/>
  <c r="S58" i="2"/>
  <c r="Z11" i="3" l="1"/>
  <c r="Z10" i="3"/>
  <c r="Z9" i="3"/>
  <c r="Z8" i="3"/>
  <c r="Z7" i="3"/>
  <c r="K58" i="2" l="1"/>
  <c r="BD57" i="1"/>
  <c r="AZ57" i="1"/>
  <c r="AK57" i="1"/>
  <c r="AQ57" i="1" s="1"/>
  <c r="M58" i="2" l="1"/>
  <c r="U58" i="2"/>
  <c r="BF57" i="1"/>
  <c r="I47" i="3"/>
  <c r="I49" i="3" s="1"/>
  <c r="I46" i="3"/>
  <c r="T7" i="3"/>
  <c r="T8" i="3" s="1"/>
  <c r="T9" i="3" s="1"/>
  <c r="T10" i="3" s="1"/>
  <c r="T11" i="3" s="1"/>
  <c r="T12" i="3" s="1"/>
  <c r="T13" i="3" s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T36" i="3" s="1"/>
  <c r="T37" i="3" s="1"/>
  <c r="T38" i="3" s="1"/>
  <c r="T51" i="3" s="1"/>
  <c r="I48" i="3" l="1"/>
  <c r="I50" i="3" s="1"/>
  <c r="I57" i="3" s="1"/>
  <c r="AF30" i="2"/>
  <c r="AD30" i="2"/>
  <c r="S57" i="2"/>
  <c r="L54" i="7"/>
  <c r="K57" i="2"/>
  <c r="M57" i="2" s="1"/>
  <c r="BD56" i="1"/>
  <c r="AZ56" i="1"/>
  <c r="AK56" i="1"/>
  <c r="AQ56" i="1" s="1"/>
  <c r="I59" i="3" l="1"/>
  <c r="L57" i="3"/>
  <c r="N50" i="3"/>
  <c r="I51" i="3"/>
  <c r="U57" i="2"/>
  <c r="BF56" i="1"/>
  <c r="S56" i="2"/>
  <c r="L53" i="7"/>
  <c r="K56" i="2"/>
  <c r="M56" i="2" s="1"/>
  <c r="BD55" i="1"/>
  <c r="AZ55" i="1"/>
  <c r="AK55" i="1"/>
  <c r="AQ55" i="1" s="1"/>
  <c r="P65" i="3" l="1"/>
  <c r="I61" i="3"/>
  <c r="L61" i="3" s="1"/>
  <c r="L67" i="3"/>
  <c r="L66" i="3"/>
  <c r="L59" i="3"/>
  <c r="N51" i="3"/>
  <c r="U56" i="2"/>
  <c r="BF55" i="1"/>
  <c r="V48" i="1"/>
  <c r="S55" i="2"/>
  <c r="L52" i="7"/>
  <c r="K55" i="2"/>
  <c r="U55" i="2" s="1"/>
  <c r="BD54" i="1"/>
  <c r="AZ54" i="1"/>
  <c r="AK54" i="1"/>
  <c r="AQ54" i="1" s="1"/>
  <c r="M55" i="2" l="1"/>
  <c r="BF54" i="1"/>
  <c r="S54" i="2"/>
  <c r="L51" i="7" l="1"/>
  <c r="K54" i="2"/>
  <c r="M54" i="2" s="1"/>
  <c r="BD53" i="1"/>
  <c r="AZ53" i="1"/>
  <c r="AK53" i="1"/>
  <c r="AQ53" i="1" s="1"/>
  <c r="F73" i="7"/>
  <c r="F71" i="7"/>
  <c r="S53" i="2"/>
  <c r="L50" i="7"/>
  <c r="U54" i="2" l="1"/>
  <c r="BF53" i="1"/>
  <c r="K53" i="2"/>
  <c r="M53" i="2" s="1"/>
  <c r="BD52" i="1"/>
  <c r="AZ52" i="1"/>
  <c r="AK52" i="1"/>
  <c r="AQ52" i="1" s="1"/>
  <c r="U53" i="2" l="1"/>
  <c r="BF52" i="1"/>
  <c r="G46" i="2"/>
  <c r="AO111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99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W77" i="2" l="1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BV13" i="1"/>
  <c r="AW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AK48" i="1"/>
  <c r="AQ48" i="1" s="1"/>
  <c r="B143" i="1"/>
  <c r="B146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BV39" i="1" l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BV79" i="1" s="1"/>
  <c r="AW77" i="1"/>
  <c r="BM77" i="1"/>
  <c r="BQ52" i="1"/>
  <c r="BO53" i="1"/>
  <c r="Z34" i="1"/>
  <c r="AD34" i="1" s="1"/>
  <c r="H31" i="1"/>
  <c r="J31" i="1"/>
  <c r="AU30" i="1"/>
  <c r="AB30" i="1"/>
  <c r="BV80" i="1" l="1"/>
  <c r="BM79" i="1"/>
  <c r="AW79" i="1"/>
  <c r="BM78" i="1"/>
  <c r="AW78" i="1"/>
  <c r="J32" i="1"/>
  <c r="N31" i="1"/>
  <c r="BQ53" i="1"/>
  <c r="BO54" i="1"/>
  <c r="H32" i="1"/>
  <c r="AB31" i="1"/>
  <c r="AU31" i="1"/>
  <c r="Z35" i="1"/>
  <c r="AD35" i="1" s="1"/>
  <c r="BV81" i="1" l="1"/>
  <c r="BM80" i="1"/>
  <c r="AW80" i="1"/>
  <c r="J33" i="1"/>
  <c r="N32" i="1"/>
  <c r="H33" i="1"/>
  <c r="BQ54" i="1"/>
  <c r="BO55" i="1"/>
  <c r="AU32" i="1"/>
  <c r="AB32" i="1"/>
  <c r="Z36" i="1"/>
  <c r="AD36" i="1" s="1"/>
  <c r="BV82" i="1" l="1"/>
  <c r="BM81" i="1"/>
  <c r="AW81" i="1"/>
  <c r="N33" i="1"/>
  <c r="AB33" i="1"/>
  <c r="AU33" i="1"/>
  <c r="H34" i="1"/>
  <c r="N34" i="1" s="1"/>
  <c r="BQ55" i="1"/>
  <c r="BO56" i="1"/>
  <c r="J34" i="1"/>
  <c r="Z37" i="1"/>
  <c r="AD37" i="1" s="1"/>
  <c r="BV83" i="1" l="1"/>
  <c r="BV84" i="1" s="1"/>
  <c r="BM82" i="1"/>
  <c r="AW82" i="1"/>
  <c r="AB34" i="1"/>
  <c r="J35" i="1"/>
  <c r="H35" i="1"/>
  <c r="N35" i="1" s="1"/>
  <c r="AU34" i="1"/>
  <c r="BQ56" i="1"/>
  <c r="BO57" i="1"/>
  <c r="Z38" i="1"/>
  <c r="AD38" i="1" s="1"/>
  <c r="J36" i="1" l="1"/>
  <c r="BV85" i="1"/>
  <c r="BM84" i="1"/>
  <c r="AW84" i="1"/>
  <c r="BM83" i="1"/>
  <c r="AW83" i="1"/>
  <c r="H36" i="1"/>
  <c r="N36" i="1" s="1"/>
  <c r="AB35" i="1"/>
  <c r="AU35" i="1"/>
  <c r="BQ57" i="1"/>
  <c r="BO58" i="1"/>
  <c r="Z39" i="1"/>
  <c r="AD39" i="1" s="1"/>
  <c r="BV86" i="1" l="1"/>
  <c r="BM85" i="1"/>
  <c r="AW85" i="1"/>
  <c r="J37" i="1"/>
  <c r="H37" i="1"/>
  <c r="N37" i="1" s="1"/>
  <c r="AU36" i="1"/>
  <c r="AB36" i="1"/>
  <c r="BQ58" i="1"/>
  <c r="BO59" i="1"/>
  <c r="Z40" i="1"/>
  <c r="AD40" i="1" s="1"/>
  <c r="AB37" i="1" l="1"/>
  <c r="AW86" i="1"/>
  <c r="BM86" i="1"/>
  <c r="AU37" i="1"/>
  <c r="H38" i="1"/>
  <c r="N38" i="1" s="1"/>
  <c r="J38" i="1"/>
  <c r="BQ59" i="1"/>
  <c r="BO60" i="1"/>
  <c r="Z41" i="1"/>
  <c r="AD41" i="1" s="1"/>
  <c r="AB38" i="1" l="1"/>
  <c r="AU38" i="1"/>
  <c r="J39" i="1"/>
  <c r="H39" i="1"/>
  <c r="N39" i="1" s="1"/>
  <c r="BQ60" i="1"/>
  <c r="BO61" i="1"/>
  <c r="H40" i="1"/>
  <c r="Z42" i="1"/>
  <c r="AD42" i="1" s="1"/>
  <c r="AB39" i="1" l="1"/>
  <c r="AU39" i="1"/>
  <c r="J40" i="1"/>
  <c r="N40" i="1"/>
  <c r="BQ61" i="1"/>
  <c r="BO62" i="1"/>
  <c r="Z43" i="1"/>
  <c r="AD43" i="1" s="1"/>
  <c r="J41" i="1"/>
  <c r="H41" i="1"/>
  <c r="N41" i="1" s="1"/>
  <c r="AU40" i="1"/>
  <c r="AB40" i="1"/>
  <c r="BQ62" i="1" l="1"/>
  <c r="BO63" i="1"/>
  <c r="Z44" i="1"/>
  <c r="AD44" i="1" s="1"/>
  <c r="J42" i="1"/>
  <c r="H42" i="1"/>
  <c r="N42" i="1" s="1"/>
  <c r="AU41" i="1"/>
  <c r="AB41" i="1"/>
  <c r="BO64" i="1" l="1"/>
  <c r="BQ63" i="1"/>
  <c r="Z45" i="1"/>
  <c r="AD45" i="1" s="1"/>
  <c r="J43" i="1"/>
  <c r="H43" i="1"/>
  <c r="N43" i="1" s="1"/>
  <c r="AU42" i="1"/>
  <c r="AB42" i="1"/>
  <c r="BO65" i="1" l="1"/>
  <c r="BQ64" i="1"/>
  <c r="Z46" i="1"/>
  <c r="AD46" i="1" s="1"/>
  <c r="J44" i="1"/>
  <c r="H44" i="1"/>
  <c r="AU43" i="1"/>
  <c r="AB43" i="1"/>
  <c r="BO66" i="1" l="1"/>
  <c r="BQ65" i="1"/>
  <c r="N44" i="1"/>
  <c r="Z47" i="1"/>
  <c r="AD47" i="1" s="1"/>
  <c r="AU44" i="1"/>
  <c r="J45" i="1"/>
  <c r="AB44" i="1"/>
  <c r="H45" i="1"/>
  <c r="N45" i="1" s="1"/>
  <c r="BO67" i="1" l="1"/>
  <c r="BQ66" i="1"/>
  <c r="H46" i="1"/>
  <c r="Z48" i="1"/>
  <c r="AD48" i="1" s="1"/>
  <c r="J46" i="1"/>
  <c r="AU45" i="1"/>
  <c r="AB45" i="1"/>
  <c r="BO68" i="1" l="1"/>
  <c r="BO69" i="1" s="1"/>
  <c r="BQ67" i="1"/>
  <c r="J47" i="1"/>
  <c r="N46" i="1"/>
  <c r="H47" i="1"/>
  <c r="Z49" i="1"/>
  <c r="AD49" i="1" s="1"/>
  <c r="AU46" i="1"/>
  <c r="AB46" i="1"/>
  <c r="BQ69" i="1" l="1"/>
  <c r="BO70" i="1"/>
  <c r="BQ68" i="1"/>
  <c r="AU47" i="1"/>
  <c r="N47" i="1"/>
  <c r="AB47" i="1"/>
  <c r="H48" i="1"/>
  <c r="AU48" i="1" s="1"/>
  <c r="J48" i="1"/>
  <c r="Z50" i="1"/>
  <c r="AD50" i="1" s="1"/>
  <c r="BQ70" i="1" l="1"/>
  <c r="BO71" i="1"/>
  <c r="AB48" i="1"/>
  <c r="J49" i="1"/>
  <c r="N48" i="1"/>
  <c r="H49" i="1"/>
  <c r="H50" i="1" s="1"/>
  <c r="N50" i="1" s="1"/>
  <c r="Z51" i="1"/>
  <c r="AU49" i="1" l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Q73" i="1" l="1"/>
  <c r="BO74" i="1"/>
  <c r="BQ72" i="1"/>
  <c r="N51" i="1"/>
  <c r="Z53" i="1"/>
  <c r="AD52" i="1"/>
  <c r="H52" i="1"/>
  <c r="N52" i="1" s="1"/>
  <c r="J52" i="1"/>
  <c r="AB51" i="1"/>
  <c r="AU51" i="1"/>
  <c r="BQ74" i="1" l="1"/>
  <c r="BO75" i="1"/>
  <c r="Z54" i="1"/>
  <c r="AD53" i="1"/>
  <c r="AU52" i="1"/>
  <c r="H53" i="1"/>
  <c r="J53" i="1"/>
  <c r="AB52" i="1"/>
  <c r="BO76" i="1" l="1"/>
  <c r="BQ75" i="1"/>
  <c r="N53" i="1"/>
  <c r="AD54" i="1"/>
  <c r="Z55" i="1"/>
  <c r="AU53" i="1"/>
  <c r="H54" i="1"/>
  <c r="J54" i="1"/>
  <c r="AB53" i="1"/>
  <c r="BQ76" i="1" l="1"/>
  <c r="BO77" i="1"/>
  <c r="H55" i="1"/>
  <c r="J55" i="1"/>
  <c r="N54" i="1"/>
  <c r="AD55" i="1"/>
  <c r="Z56" i="1"/>
  <c r="AU54" i="1"/>
  <c r="AB54" i="1"/>
  <c r="BQ77" i="1" l="1"/>
  <c r="BO78" i="1"/>
  <c r="BO79" i="1" s="1"/>
  <c r="N55" i="1"/>
  <c r="AD56" i="1"/>
  <c r="Z57" i="1"/>
  <c r="J56" i="1"/>
  <c r="H56" i="1"/>
  <c r="AU55" i="1"/>
  <c r="AB55" i="1"/>
  <c r="BQ79" i="1" l="1"/>
  <c r="BO80" i="1"/>
  <c r="BQ78" i="1"/>
  <c r="N56" i="1"/>
  <c r="H57" i="1"/>
  <c r="AB57" i="1" s="1"/>
  <c r="J57" i="1"/>
  <c r="AD57" i="1"/>
  <c r="Z58" i="1"/>
  <c r="AU56" i="1"/>
  <c r="AB56" i="1"/>
  <c r="BQ80" i="1" l="1"/>
  <c r="BO81" i="1"/>
  <c r="AD58" i="1"/>
  <c r="Z59" i="1"/>
  <c r="Z60" i="1" s="1"/>
  <c r="AU57" i="1"/>
  <c r="N57" i="1"/>
  <c r="J58" i="1"/>
  <c r="H58" i="1"/>
  <c r="AB58" i="1" s="1"/>
  <c r="BQ81" i="1" l="1"/>
  <c r="BO82" i="1"/>
  <c r="Z61" i="1"/>
  <c r="AD60" i="1"/>
  <c r="AD59" i="1"/>
  <c r="AU58" i="1"/>
  <c r="J59" i="1"/>
  <c r="H59" i="1"/>
  <c r="N58" i="1"/>
  <c r="BO83" i="1" l="1"/>
  <c r="BO84" i="1" s="1"/>
  <c r="BQ82" i="1"/>
  <c r="Z62" i="1"/>
  <c r="AD61" i="1"/>
  <c r="J60" i="1"/>
  <c r="H60" i="1"/>
  <c r="AU59" i="1"/>
  <c r="N59" i="1"/>
  <c r="AB59" i="1"/>
  <c r="Z12" i="3"/>
  <c r="Z13" i="3"/>
  <c r="BQ84" i="1" l="1"/>
  <c r="BO85" i="1"/>
  <c r="BO86" i="1" s="1"/>
  <c r="BQ83" i="1"/>
  <c r="AD62" i="1"/>
  <c r="Z63" i="1"/>
  <c r="J61" i="1"/>
  <c r="H61" i="1"/>
  <c r="AU60" i="1"/>
  <c r="N60" i="1"/>
  <c r="AB60" i="1"/>
  <c r="BQ86" i="1" l="1"/>
  <c r="BQ85" i="1"/>
  <c r="Z64" i="1"/>
  <c r="Z65" i="1" s="1"/>
  <c r="H62" i="1"/>
  <c r="J62" i="1"/>
  <c r="AD63" i="1"/>
  <c r="AU61" i="1"/>
  <c r="N61" i="1"/>
  <c r="AB61" i="1"/>
  <c r="AD65" i="1" l="1"/>
  <c r="Z66" i="1"/>
  <c r="AD64" i="1"/>
  <c r="AU62" i="1"/>
  <c r="H63" i="1"/>
  <c r="J63" i="1"/>
  <c r="N62" i="1"/>
  <c r="AB62" i="1"/>
  <c r="Z67" i="1" l="1"/>
  <c r="AD66" i="1"/>
  <c r="J64" i="1"/>
  <c r="H64" i="1"/>
  <c r="AU63" i="1"/>
  <c r="N63" i="1"/>
  <c r="AB63" i="1"/>
  <c r="Z17" i="3"/>
  <c r="Z18" i="3"/>
  <c r="Z15" i="3"/>
  <c r="Z16" i="3"/>
  <c r="Z14" i="3"/>
  <c r="Z68" i="1" l="1"/>
  <c r="Z69" i="1" s="1"/>
  <c r="AD67" i="1"/>
  <c r="H65" i="1"/>
  <c r="J65" i="1"/>
  <c r="AU64" i="1"/>
  <c r="N64" i="1"/>
  <c r="AB64" i="1"/>
  <c r="Z70" i="1" l="1"/>
  <c r="Z71" i="1" s="1"/>
  <c r="AD69" i="1"/>
  <c r="AD68" i="1"/>
  <c r="AB65" i="1"/>
  <c r="J66" i="1"/>
  <c r="H66" i="1"/>
  <c r="AU65" i="1"/>
  <c r="N65" i="1"/>
  <c r="Z72" i="1" l="1"/>
  <c r="AD71" i="1"/>
  <c r="AD70" i="1"/>
  <c r="J67" i="1"/>
  <c r="H67" i="1"/>
  <c r="AU66" i="1"/>
  <c r="N66" i="1"/>
  <c r="AB66" i="1"/>
  <c r="Z20" i="3"/>
  <c r="Z19" i="3"/>
  <c r="Z73" i="1" l="1"/>
  <c r="AD72" i="1"/>
  <c r="H68" i="1"/>
  <c r="J68" i="1"/>
  <c r="AU67" i="1"/>
  <c r="N67" i="1"/>
  <c r="AB67" i="1"/>
  <c r="Z74" i="1" l="1"/>
  <c r="AD73" i="1"/>
  <c r="J69" i="1"/>
  <c r="H69" i="1"/>
  <c r="AU68" i="1"/>
  <c r="N68" i="1"/>
  <c r="AB68" i="1"/>
  <c r="Z75" i="1" l="1"/>
  <c r="AD74" i="1"/>
  <c r="J70" i="1"/>
  <c r="H70" i="1"/>
  <c r="AU69" i="1"/>
  <c r="AB69" i="1"/>
  <c r="N69" i="1"/>
  <c r="Z22" i="3"/>
  <c r="Z21" i="3"/>
  <c r="Z76" i="1" l="1"/>
  <c r="AD75" i="1"/>
  <c r="H71" i="1"/>
  <c r="J71" i="1"/>
  <c r="N70" i="1"/>
  <c r="AU70" i="1"/>
  <c r="AB70" i="1"/>
  <c r="Z77" i="1" l="1"/>
  <c r="AD76" i="1"/>
  <c r="AU71" i="1"/>
  <c r="H72" i="1"/>
  <c r="AB71" i="1"/>
  <c r="N71" i="1"/>
  <c r="J72" i="1"/>
  <c r="Z24" i="3"/>
  <c r="Z23" i="3"/>
  <c r="AD77" i="1" l="1"/>
  <c r="Z78" i="1"/>
  <c r="Z79" i="1" s="1"/>
  <c r="D121" i="1"/>
  <c r="J73" i="1"/>
  <c r="H73" i="1"/>
  <c r="AU72" i="1"/>
  <c r="AB72" i="1"/>
  <c r="N72" i="1"/>
  <c r="AD79" i="1" l="1"/>
  <c r="Z80" i="1"/>
  <c r="AD78" i="1"/>
  <c r="J74" i="1"/>
  <c r="H74" i="1"/>
  <c r="AU73" i="1"/>
  <c r="AB73" i="1"/>
  <c r="N73" i="1"/>
  <c r="Z26" i="3"/>
  <c r="Z25" i="3"/>
  <c r="AD80" i="1" l="1"/>
  <c r="Z81" i="1"/>
  <c r="AU74" i="1"/>
  <c r="J75" i="1"/>
  <c r="H75" i="1"/>
  <c r="AB74" i="1"/>
  <c r="N74" i="1"/>
  <c r="AD81" i="1" l="1"/>
  <c r="Z82" i="1"/>
  <c r="Z83" i="1" s="1"/>
  <c r="Z84" i="1" s="1"/>
  <c r="AU75" i="1"/>
  <c r="J76" i="1"/>
  <c r="H76" i="1"/>
  <c r="AB75" i="1"/>
  <c r="N75" i="1"/>
  <c r="Z30" i="3"/>
  <c r="Z31" i="3"/>
  <c r="Z28" i="3"/>
  <c r="Z29" i="3"/>
  <c r="AD84" i="1" l="1"/>
  <c r="Z85" i="1"/>
  <c r="Z86" i="1" s="1"/>
  <c r="AD83" i="1"/>
  <c r="AM23" i="2"/>
  <c r="AD82" i="1"/>
  <c r="AU76" i="1"/>
  <c r="J77" i="1"/>
  <c r="H77" i="1"/>
  <c r="N76" i="1"/>
  <c r="AB76" i="1"/>
  <c r="Z27" i="3"/>
  <c r="AD86" i="1" l="1"/>
  <c r="AD85" i="1"/>
  <c r="I21" i="3"/>
  <c r="AJ21" i="2"/>
  <c r="AM21" i="2" s="1"/>
  <c r="AN24" i="2" s="1"/>
  <c r="H78" i="1"/>
  <c r="J78" i="1"/>
  <c r="N77" i="1"/>
  <c r="AU77" i="1"/>
  <c r="AB77" i="1"/>
  <c r="AN23" i="2" l="1"/>
  <c r="AN25" i="2" s="1"/>
  <c r="AN26" i="2" s="1"/>
  <c r="I35" i="3"/>
  <c r="I23" i="3"/>
  <c r="I25" i="3" s="1"/>
  <c r="I27" i="3" s="1"/>
  <c r="J79" i="1"/>
  <c r="H79" i="1"/>
  <c r="AU78" i="1"/>
  <c r="N78" i="1"/>
  <c r="AB78" i="1"/>
  <c r="N27" i="3" l="1"/>
  <c r="N28" i="3" s="1"/>
  <c r="I34" i="3"/>
  <c r="N79" i="1"/>
  <c r="J80" i="1"/>
  <c r="H80" i="1"/>
  <c r="AB79" i="1"/>
  <c r="AU79" i="1"/>
  <c r="Z32" i="3"/>
  <c r="H81" i="1" l="1"/>
  <c r="J81" i="1"/>
  <c r="AU80" i="1"/>
  <c r="N80" i="1"/>
  <c r="AB80" i="1"/>
  <c r="N81" i="1" l="1"/>
  <c r="H82" i="1"/>
  <c r="J82" i="1"/>
  <c r="AB81" i="1"/>
  <c r="AU81" i="1"/>
  <c r="Z36" i="3"/>
  <c r="Z34" i="3"/>
  <c r="Z35" i="3"/>
  <c r="Z33" i="3"/>
  <c r="J83" i="1" l="1"/>
  <c r="H83" i="1"/>
  <c r="AU82" i="1"/>
  <c r="N82" i="1"/>
  <c r="AB82" i="1"/>
  <c r="J84" i="1" l="1"/>
  <c r="H84" i="1"/>
  <c r="AU83" i="1"/>
  <c r="N83" i="1"/>
  <c r="AB83" i="1"/>
  <c r="AU84" i="1" l="1"/>
  <c r="J85" i="1"/>
  <c r="H85" i="1"/>
  <c r="N84" i="1"/>
  <c r="AB84" i="1"/>
  <c r="H86" i="1" l="1"/>
  <c r="J86" i="1"/>
  <c r="AU85" i="1"/>
  <c r="N85" i="1"/>
  <c r="AB85" i="1"/>
  <c r="T14" i="7"/>
  <c r="Z39" i="3"/>
  <c r="Z38" i="3"/>
  <c r="Z37" i="3"/>
  <c r="AU86" i="1" l="1"/>
  <c r="N86" i="1"/>
  <c r="AB86" i="1"/>
  <c r="I32" i="3"/>
  <c r="AF21" i="2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P15" i="7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L34" i="3" l="1"/>
  <c r="L35" i="3"/>
  <c r="I28" i="3"/>
  <c r="I36" i="3"/>
  <c r="V45" i="3" s="1"/>
  <c r="Z45" i="3" s="1"/>
  <c r="L32" i="3"/>
  <c r="Z43" i="3" l="1"/>
  <c r="Z44" i="3"/>
  <c r="Z41" i="3"/>
  <c r="Z42" i="3"/>
  <c r="Z40" i="3"/>
  <c r="L36" i="3"/>
  <c r="X45" i="3" s="1"/>
  <c r="X12" i="3" l="1"/>
</calcChain>
</file>

<file path=xl/sharedStrings.xml><?xml version="1.0" encoding="utf-8"?>
<sst xmlns="http://schemas.openxmlformats.org/spreadsheetml/2006/main" count="243" uniqueCount="135">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</sst>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4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0" fontId="0" fillId="5" borderId="1" xfId="0" applyFill="1" applyBorder="1" applyAlignment="1">
      <alignment horizontal="center"/>
    </xf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38" fontId="0" fillId="0" borderId="0" xfId="0" applyNumberFormat="1"/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166" fontId="0" fillId="6" borderId="0" xfId="2" applyNumberFormat="1" applyFont="1" applyFill="1" applyBorder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Table'!$AF$25:$AF$89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Table'!$P$26:$P$89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 Rates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'Main Table'!$BL$39:$BL$89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97</xdr:row>
      <xdr:rowOff>0</xdr:rowOff>
    </xdr:from>
    <xdr:to>
      <xdr:col>53</xdr:col>
      <xdr:colOff>160020</xdr:colOff>
      <xdr:row>97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98</xdr:row>
      <xdr:rowOff>0</xdr:rowOff>
    </xdr:from>
    <xdr:to>
      <xdr:col>53</xdr:col>
      <xdr:colOff>160020</xdr:colOff>
      <xdr:row>98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107</xdr:row>
      <xdr:rowOff>99060</xdr:rowOff>
    </xdr:from>
    <xdr:to>
      <xdr:col>21</xdr:col>
      <xdr:colOff>274320</xdr:colOff>
      <xdr:row>108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107</xdr:row>
      <xdr:rowOff>129540</xdr:rowOff>
    </xdr:from>
    <xdr:to>
      <xdr:col>22</xdr:col>
      <xdr:colOff>38100</xdr:colOff>
      <xdr:row>108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75</xdr:col>
      <xdr:colOff>548640</xdr:colOff>
      <xdr:row>8</xdr:row>
      <xdr:rowOff>68580</xdr:rowOff>
    </xdr:from>
    <xdr:to>
      <xdr:col>85</xdr:col>
      <xdr:colOff>342900</xdr:colOff>
      <xdr:row>26</xdr:row>
      <xdr:rowOff>53340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77</xdr:col>
      <xdr:colOff>586740</xdr:colOff>
      <xdr:row>21</xdr:row>
      <xdr:rowOff>137160</xdr:rowOff>
    </xdr:from>
    <xdr:to>
      <xdr:col>88</xdr:col>
      <xdr:colOff>822960</xdr:colOff>
      <xdr:row>39</xdr:row>
      <xdr:rowOff>15240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75</xdr:col>
      <xdr:colOff>647700</xdr:colOff>
      <xdr:row>1</xdr:row>
      <xdr:rowOff>137160</xdr:rowOff>
    </xdr:from>
    <xdr:to>
      <xdr:col>88</xdr:col>
      <xdr:colOff>548640</xdr:colOff>
      <xdr:row>19</xdr:row>
      <xdr:rowOff>15240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44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82</xdr:row>
      <xdr:rowOff>0</xdr:rowOff>
    </xdr:from>
    <xdr:to>
      <xdr:col>70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82</xdr:row>
      <xdr:rowOff>0</xdr:rowOff>
    </xdr:from>
    <xdr:to>
      <xdr:col>59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82</xdr:row>
      <xdr:rowOff>0</xdr:rowOff>
    </xdr:from>
    <xdr:to>
      <xdr:col>38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83</xdr:row>
      <xdr:rowOff>0</xdr:rowOff>
    </xdr:from>
    <xdr:to>
      <xdr:col>44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83</xdr:row>
      <xdr:rowOff>0</xdr:rowOff>
    </xdr:from>
    <xdr:to>
      <xdr:col>70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83</xdr:row>
      <xdr:rowOff>0</xdr:rowOff>
    </xdr:from>
    <xdr:to>
      <xdr:col>38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59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84</xdr:row>
      <xdr:rowOff>0</xdr:rowOff>
    </xdr:from>
    <xdr:to>
      <xdr:col>44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84</xdr:row>
      <xdr:rowOff>0</xdr:rowOff>
    </xdr:from>
    <xdr:to>
      <xdr:col>70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84</xdr:row>
      <xdr:rowOff>0</xdr:rowOff>
    </xdr:from>
    <xdr:to>
      <xdr:col>59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84</xdr:row>
      <xdr:rowOff>0</xdr:rowOff>
    </xdr:from>
    <xdr:to>
      <xdr:col>23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85</xdr:row>
      <xdr:rowOff>0</xdr:rowOff>
    </xdr:from>
    <xdr:to>
      <xdr:col>44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85</xdr:row>
      <xdr:rowOff>0</xdr:rowOff>
    </xdr:from>
    <xdr:to>
      <xdr:col>70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85</xdr:row>
      <xdr:rowOff>0</xdr:rowOff>
    </xdr:from>
    <xdr:to>
      <xdr:col>23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85</xdr:row>
      <xdr:rowOff>0</xdr:rowOff>
    </xdr:from>
    <xdr:to>
      <xdr:col>38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85</xdr:row>
      <xdr:rowOff>0</xdr:rowOff>
    </xdr:from>
    <xdr:to>
      <xdr:col>59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86</xdr:row>
      <xdr:rowOff>0</xdr:rowOff>
    </xdr:from>
    <xdr:to>
      <xdr:col>44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86</xdr:row>
      <xdr:rowOff>0</xdr:rowOff>
    </xdr:from>
    <xdr:to>
      <xdr:col>70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86</xdr:row>
      <xdr:rowOff>0</xdr:rowOff>
    </xdr:from>
    <xdr:to>
      <xdr:col>23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86</xdr:row>
      <xdr:rowOff>0</xdr:rowOff>
    </xdr:from>
    <xdr:to>
      <xdr:col>38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86</xdr:row>
      <xdr:rowOff>0</xdr:rowOff>
    </xdr:from>
    <xdr:to>
      <xdr:col>59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87</xdr:row>
      <xdr:rowOff>0</xdr:rowOff>
    </xdr:from>
    <xdr:to>
      <xdr:col>44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87</xdr:row>
      <xdr:rowOff>0</xdr:rowOff>
    </xdr:from>
    <xdr:to>
      <xdr:col>70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87</xdr:row>
      <xdr:rowOff>0</xdr:rowOff>
    </xdr:from>
    <xdr:to>
      <xdr:col>59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87</xdr:row>
      <xdr:rowOff>0</xdr:rowOff>
    </xdr:from>
    <xdr:to>
      <xdr:col>38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88</xdr:row>
      <xdr:rowOff>0</xdr:rowOff>
    </xdr:from>
    <xdr:to>
      <xdr:col>44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88</xdr:row>
      <xdr:rowOff>0</xdr:rowOff>
    </xdr:from>
    <xdr:to>
      <xdr:col>70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88</xdr:row>
      <xdr:rowOff>0</xdr:rowOff>
    </xdr:from>
    <xdr:to>
      <xdr:col>23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88</xdr:row>
      <xdr:rowOff>0</xdr:rowOff>
    </xdr:from>
    <xdr:to>
      <xdr:col>59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88</xdr:row>
      <xdr:rowOff>0</xdr:rowOff>
    </xdr:from>
    <xdr:to>
      <xdr:col>38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89</xdr:row>
      <xdr:rowOff>0</xdr:rowOff>
    </xdr:from>
    <xdr:to>
      <xdr:col>44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89</xdr:row>
      <xdr:rowOff>0</xdr:rowOff>
    </xdr:from>
    <xdr:to>
      <xdr:col>70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89</xdr:row>
      <xdr:rowOff>0</xdr:rowOff>
    </xdr:from>
    <xdr:to>
      <xdr:col>38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89</xdr:row>
      <xdr:rowOff>0</xdr:rowOff>
    </xdr:from>
    <xdr:to>
      <xdr:col>59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0</xdr:colOff>
      <xdr:row>7</xdr:row>
      <xdr:rowOff>0</xdr:rowOff>
    </xdr:from>
    <xdr:to>
      <xdr:col>33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11</xdr:row>
      <xdr:rowOff>0</xdr:rowOff>
    </xdr:from>
    <xdr:to>
      <xdr:col>27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12</xdr:row>
      <xdr:rowOff>0</xdr:rowOff>
    </xdr:from>
    <xdr:to>
      <xdr:col>27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13</xdr:row>
      <xdr:rowOff>0</xdr:rowOff>
    </xdr:from>
    <xdr:to>
      <xdr:col>27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14</xdr:row>
      <xdr:rowOff>0</xdr:rowOff>
    </xdr:from>
    <xdr:to>
      <xdr:col>27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15</xdr:row>
      <xdr:rowOff>0</xdr:rowOff>
    </xdr:from>
    <xdr:to>
      <xdr:col>27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16</xdr:row>
      <xdr:rowOff>0</xdr:rowOff>
    </xdr:from>
    <xdr:to>
      <xdr:col>27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17</xdr:row>
      <xdr:rowOff>0</xdr:rowOff>
    </xdr:from>
    <xdr:to>
      <xdr:col>27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27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19</xdr:row>
      <xdr:rowOff>0</xdr:rowOff>
    </xdr:from>
    <xdr:to>
      <xdr:col>27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20</xdr:row>
      <xdr:rowOff>0</xdr:rowOff>
    </xdr:from>
    <xdr:to>
      <xdr:col>27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21</xdr:row>
      <xdr:rowOff>0</xdr:rowOff>
    </xdr:from>
    <xdr:to>
      <xdr:col>27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22</xdr:row>
      <xdr:rowOff>0</xdr:rowOff>
    </xdr:from>
    <xdr:to>
      <xdr:col>27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24</xdr:row>
      <xdr:rowOff>0</xdr:rowOff>
    </xdr:from>
    <xdr:to>
      <xdr:col>27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25</xdr:row>
      <xdr:rowOff>0</xdr:rowOff>
    </xdr:from>
    <xdr:to>
      <xdr:col>27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26</xdr:row>
      <xdr:rowOff>0</xdr:rowOff>
    </xdr:from>
    <xdr:to>
      <xdr:col>27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27</xdr:row>
      <xdr:rowOff>0</xdr:rowOff>
    </xdr:from>
    <xdr:to>
      <xdr:col>27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28</xdr:row>
      <xdr:rowOff>0</xdr:rowOff>
    </xdr:from>
    <xdr:to>
      <xdr:col>27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29</xdr:row>
      <xdr:rowOff>0</xdr:rowOff>
    </xdr:from>
    <xdr:to>
      <xdr:col>27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30</xdr:row>
      <xdr:rowOff>0</xdr:rowOff>
    </xdr:from>
    <xdr:to>
      <xdr:col>27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32</xdr:row>
      <xdr:rowOff>0</xdr:rowOff>
    </xdr:from>
    <xdr:to>
      <xdr:col>27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33</xdr:row>
      <xdr:rowOff>0</xdr:rowOff>
    </xdr:from>
    <xdr:to>
      <xdr:col>27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34</xdr:row>
      <xdr:rowOff>0</xdr:rowOff>
    </xdr:from>
    <xdr:to>
      <xdr:col>27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35</xdr:row>
      <xdr:rowOff>0</xdr:rowOff>
    </xdr:from>
    <xdr:to>
      <xdr:col>27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27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38</xdr:row>
      <xdr:rowOff>0</xdr:rowOff>
    </xdr:from>
    <xdr:to>
      <xdr:col>27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39</xdr:row>
      <xdr:rowOff>0</xdr:rowOff>
    </xdr:from>
    <xdr:to>
      <xdr:col>27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40</xdr:row>
      <xdr:rowOff>0</xdr:rowOff>
    </xdr:from>
    <xdr:to>
      <xdr:col>27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27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42</xdr:row>
      <xdr:rowOff>0</xdr:rowOff>
    </xdr:from>
    <xdr:to>
      <xdr:col>27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43</xdr:row>
      <xdr:rowOff>0</xdr:rowOff>
    </xdr:from>
    <xdr:to>
      <xdr:col>27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44</xdr:row>
      <xdr:rowOff>0</xdr:rowOff>
    </xdr:from>
    <xdr:to>
      <xdr:col>27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63"/>
  <sheetViews>
    <sheetView tabSelected="1" zoomScaleNormal="100" workbookViewId="0">
      <selection activeCell="BB91" sqref="BB91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hidden="1" customWidth="1" outlineLevel="1"/>
    <col min="33" max="33" width="1.5546875" hidden="1" customWidth="1" outlineLevel="1"/>
    <col min="34" max="34" width="8.109375" hidden="1" customWidth="1" outlineLevel="1"/>
    <col min="35" max="35" width="1.33203125" hidden="1" customWidth="1" outlineLevel="1"/>
    <col min="36" max="36" width="3.5546875" customWidth="1" collapsed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hidden="1" customWidth="1" outlineLevel="1"/>
    <col min="62" max="62" width="10.3320312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502" t="s">
        <v>5</v>
      </c>
      <c r="C1" s="502"/>
      <c r="D1" s="502"/>
    </row>
    <row r="2" spans="2:89" ht="15.6" x14ac:dyDescent="0.3">
      <c r="B2" s="502" t="s">
        <v>6</v>
      </c>
      <c r="C2" s="502"/>
      <c r="D2" s="502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505" t="s">
        <v>13</v>
      </c>
      <c r="C3" s="505"/>
      <c r="D3" s="168"/>
      <c r="E3" s="168"/>
      <c r="F3" s="168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503" t="s">
        <v>11</v>
      </c>
      <c r="K4" s="504"/>
      <c r="L4" s="504"/>
      <c r="M4" s="504"/>
      <c r="N4" s="504"/>
      <c r="O4" s="504"/>
      <c r="P4" s="504"/>
      <c r="Q4" s="504"/>
      <c r="R4" s="504"/>
      <c r="S4" s="504"/>
      <c r="T4" s="504"/>
      <c r="U4" s="504"/>
      <c r="V4" s="504"/>
      <c r="W4" s="504"/>
      <c r="X4" s="504"/>
      <c r="Y4" s="504"/>
      <c r="Z4" s="504"/>
      <c r="AA4" s="504"/>
      <c r="AB4" s="504"/>
      <c r="AC4" s="11"/>
      <c r="AD4" s="328"/>
      <c r="AE4" s="451"/>
      <c r="AF4" s="451"/>
      <c r="AG4" s="451"/>
      <c r="AH4" s="451"/>
      <c r="AI4" s="12"/>
      <c r="AK4" s="485" t="s">
        <v>14</v>
      </c>
      <c r="AL4" s="486"/>
      <c r="AM4" s="486"/>
      <c r="AN4" s="486"/>
      <c r="AO4" s="486"/>
      <c r="AP4" s="486"/>
      <c r="AQ4" s="486"/>
      <c r="AR4" s="486"/>
      <c r="AS4" s="486"/>
      <c r="AT4" s="486"/>
      <c r="AU4" s="486"/>
      <c r="AV4" s="486"/>
      <c r="AW4" s="486"/>
      <c r="AX4" s="486"/>
      <c r="AY4" s="486"/>
      <c r="AZ4" s="486"/>
      <c r="BA4" s="486"/>
      <c r="BB4" s="486"/>
      <c r="BC4" s="486"/>
      <c r="BD4" s="486"/>
      <c r="BE4" s="486"/>
      <c r="BF4" s="486"/>
      <c r="BG4" s="486"/>
      <c r="BH4" s="486"/>
      <c r="BI4" s="486"/>
      <c r="BJ4" s="486"/>
      <c r="BK4" s="486"/>
      <c r="BL4" s="486"/>
      <c r="BM4" s="486"/>
      <c r="BN4" s="486"/>
      <c r="BO4" s="486"/>
      <c r="BP4" s="486"/>
      <c r="BQ4" s="486"/>
      <c r="BR4" s="486"/>
      <c r="BS4" s="486"/>
      <c r="BT4" s="487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6" t="s">
        <v>7</v>
      </c>
      <c r="E6" s="337"/>
      <c r="F6" s="506" t="s">
        <v>12</v>
      </c>
      <c r="G6" s="506"/>
      <c r="H6" s="506"/>
      <c r="I6" s="506"/>
      <c r="J6" s="506"/>
      <c r="K6" s="506"/>
      <c r="L6" s="506"/>
      <c r="M6" s="338"/>
      <c r="N6" s="338"/>
      <c r="O6" s="339"/>
      <c r="P6" s="512" t="s">
        <v>126</v>
      </c>
      <c r="Q6" s="506"/>
      <c r="R6" s="506"/>
      <c r="S6" s="506"/>
      <c r="T6" s="513"/>
      <c r="U6" s="3"/>
      <c r="V6" s="8" t="s">
        <v>7</v>
      </c>
      <c r="W6" s="30"/>
      <c r="X6" s="507">
        <v>1.2500000000000001E-2</v>
      </c>
      <c r="Y6" s="507"/>
      <c r="Z6" s="507"/>
      <c r="AA6" s="507"/>
      <c r="AB6" s="507"/>
      <c r="AC6" s="507"/>
      <c r="AD6" s="507"/>
      <c r="AE6" s="507"/>
      <c r="AF6" s="507"/>
      <c r="AG6" s="507"/>
      <c r="AH6" s="507"/>
      <c r="AI6" s="508"/>
      <c r="AJ6" s="3"/>
      <c r="AK6" s="494" t="s">
        <v>27</v>
      </c>
      <c r="AL6" s="495"/>
      <c r="AM6" s="495"/>
      <c r="AN6" s="495"/>
      <c r="AO6" s="495"/>
      <c r="AP6" s="495"/>
      <c r="AQ6" s="495"/>
      <c r="AR6" s="495"/>
      <c r="AS6" s="495"/>
      <c r="AT6" s="495"/>
      <c r="AU6" s="495"/>
      <c r="AV6" s="495"/>
      <c r="AW6" s="495"/>
      <c r="AX6" s="496"/>
      <c r="AY6" s="3"/>
      <c r="AZ6" s="497" t="s">
        <v>7</v>
      </c>
      <c r="BA6" s="489"/>
      <c r="BB6" s="489"/>
      <c r="BC6" s="97"/>
      <c r="BD6" s="488" t="s">
        <v>26</v>
      </c>
      <c r="BE6" s="488"/>
      <c r="BF6" s="488"/>
      <c r="BG6" s="488"/>
      <c r="BH6" s="488"/>
      <c r="BI6" s="488"/>
      <c r="BJ6" s="488"/>
      <c r="BK6" s="488"/>
      <c r="BL6" s="488"/>
      <c r="BM6" s="488"/>
      <c r="BN6" s="488"/>
      <c r="BO6" s="488"/>
      <c r="BP6" s="488"/>
      <c r="BQ6" s="489"/>
      <c r="BR6" s="489"/>
      <c r="BS6" s="489"/>
      <c r="BT6" s="490"/>
      <c r="BU6" s="3"/>
    </row>
    <row r="7" spans="2:89" ht="16.2" x14ac:dyDescent="0.3">
      <c r="D7" s="491" t="s">
        <v>20</v>
      </c>
      <c r="E7" s="492"/>
      <c r="F7" s="492"/>
      <c r="G7" s="492"/>
      <c r="H7" s="492"/>
      <c r="I7" s="492"/>
      <c r="J7" s="492"/>
      <c r="K7" s="469"/>
      <c r="L7" s="469"/>
      <c r="M7" s="469"/>
      <c r="N7" s="469"/>
      <c r="O7" s="470"/>
      <c r="P7" s="452"/>
      <c r="Q7" s="453"/>
      <c r="R7" s="453"/>
      <c r="S7" s="453"/>
      <c r="T7" s="340"/>
      <c r="U7" s="3"/>
      <c r="V7" s="509" t="s">
        <v>35</v>
      </c>
      <c r="W7" s="510"/>
      <c r="X7" s="510"/>
      <c r="Y7" s="510"/>
      <c r="Z7" s="510"/>
      <c r="AA7" s="510"/>
      <c r="AB7" s="510"/>
      <c r="AC7" s="510"/>
      <c r="AD7" s="510"/>
      <c r="AE7" s="510"/>
      <c r="AF7" s="510"/>
      <c r="AG7" s="510"/>
      <c r="AH7" s="510"/>
      <c r="AI7" s="511"/>
      <c r="AJ7" s="3"/>
      <c r="AK7" s="491" t="s">
        <v>78</v>
      </c>
      <c r="AL7" s="492"/>
      <c r="AM7" s="492"/>
      <c r="AN7" s="492"/>
      <c r="AO7" s="492"/>
      <c r="AP7" s="492"/>
      <c r="AQ7" s="492"/>
      <c r="AR7" s="492"/>
      <c r="AS7" s="492"/>
      <c r="AT7" s="492"/>
      <c r="AU7" s="492"/>
      <c r="AV7" s="492"/>
      <c r="AW7" s="492"/>
      <c r="AX7" s="493"/>
      <c r="AZ7" s="491" t="s">
        <v>25</v>
      </c>
      <c r="BA7" s="492"/>
      <c r="BB7" s="492"/>
      <c r="BC7" s="492"/>
      <c r="BD7" s="492"/>
      <c r="BE7" s="492"/>
      <c r="BF7" s="492"/>
      <c r="BG7" s="492"/>
      <c r="BH7" s="492"/>
      <c r="BI7" s="492"/>
      <c r="BJ7" s="492"/>
      <c r="BK7" s="492"/>
      <c r="BL7" s="492"/>
      <c r="BM7" s="492"/>
      <c r="BN7" s="492"/>
      <c r="BO7" s="492"/>
      <c r="BP7" s="492"/>
      <c r="BQ7" s="492"/>
      <c r="BR7" s="492"/>
      <c r="BS7" s="492"/>
      <c r="BT7" s="493"/>
      <c r="BV7" s="176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1"/>
      <c r="N8" s="334" t="s">
        <v>117</v>
      </c>
      <c r="O8" s="341"/>
      <c r="P8" s="456" t="s">
        <v>1</v>
      </c>
      <c r="Q8" s="331"/>
      <c r="R8" s="53" t="s">
        <v>81</v>
      </c>
      <c r="S8" s="331"/>
      <c r="T8" s="341"/>
      <c r="V8" s="459" t="s">
        <v>1</v>
      </c>
      <c r="W8" s="460"/>
      <c r="X8" s="461" t="s">
        <v>15</v>
      </c>
      <c r="Y8" s="460"/>
      <c r="Z8" s="462" t="s">
        <v>2</v>
      </c>
      <c r="AA8" s="460"/>
      <c r="AB8" s="463" t="s">
        <v>3</v>
      </c>
      <c r="AC8" s="460"/>
      <c r="AD8" s="464" t="s">
        <v>117</v>
      </c>
      <c r="AE8" s="465"/>
      <c r="AF8" s="459" t="s">
        <v>1</v>
      </c>
      <c r="AG8" s="458"/>
      <c r="AH8" s="464" t="s">
        <v>127</v>
      </c>
      <c r="AI8" s="48"/>
      <c r="AK8" s="20" t="s">
        <v>1</v>
      </c>
      <c r="AL8" s="329"/>
      <c r="AM8" s="347" t="s">
        <v>15</v>
      </c>
      <c r="AN8" s="329"/>
      <c r="AO8" s="73" t="s">
        <v>2</v>
      </c>
      <c r="AP8" s="329"/>
      <c r="AQ8" s="330" t="s">
        <v>3</v>
      </c>
      <c r="AR8" s="329"/>
      <c r="AS8" s="347" t="s">
        <v>15</v>
      </c>
      <c r="AT8" s="329"/>
      <c r="AU8" s="348" t="s">
        <v>16</v>
      </c>
      <c r="AV8" s="345"/>
      <c r="AW8" s="349" t="s">
        <v>117</v>
      </c>
      <c r="AX8" s="350"/>
      <c r="AZ8" s="483" t="s">
        <v>1</v>
      </c>
      <c r="BA8" s="484"/>
      <c r="BB8" s="484"/>
      <c r="BC8" s="64"/>
      <c r="BD8" s="484" t="s">
        <v>24</v>
      </c>
      <c r="BE8" s="484"/>
      <c r="BF8" s="484"/>
      <c r="BG8" s="484"/>
      <c r="BH8" s="498"/>
      <c r="BI8" s="499" t="s">
        <v>126</v>
      </c>
      <c r="BJ8" s="500"/>
      <c r="BK8" s="500"/>
      <c r="BL8" s="501"/>
      <c r="BM8" s="483" t="s">
        <v>24</v>
      </c>
      <c r="BN8" s="484"/>
      <c r="BO8" s="484"/>
      <c r="BP8" s="64"/>
      <c r="BQ8" s="105"/>
      <c r="BR8" s="468"/>
      <c r="BS8" s="106"/>
      <c r="BT8" s="183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1"/>
      <c r="AZ9" s="454" t="s">
        <v>36</v>
      </c>
      <c r="BA9" s="64"/>
      <c r="BB9" s="98" t="s">
        <v>2</v>
      </c>
      <c r="BC9" s="65"/>
      <c r="BD9" s="455" t="s">
        <v>36</v>
      </c>
      <c r="BE9" s="64"/>
      <c r="BF9" s="63" t="s">
        <v>10</v>
      </c>
      <c r="BG9" s="156"/>
      <c r="BH9" s="466" t="s">
        <v>15</v>
      </c>
      <c r="BI9" s="64"/>
      <c r="BJ9" s="455" t="s">
        <v>128</v>
      </c>
      <c r="BK9" s="64"/>
      <c r="BL9" s="63" t="s">
        <v>10</v>
      </c>
      <c r="BM9" s="467" t="s">
        <v>117</v>
      </c>
      <c r="BN9" s="64"/>
      <c r="BO9" s="104" t="s">
        <v>2</v>
      </c>
      <c r="BP9" s="355"/>
      <c r="BQ9" s="105" t="s">
        <v>22</v>
      </c>
      <c r="BR9" s="64"/>
      <c r="BS9" s="106" t="s">
        <v>15</v>
      </c>
      <c r="BT9" s="184"/>
    </row>
    <row r="10" spans="2:89" x14ac:dyDescent="0.3">
      <c r="B10" s="172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3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1"/>
      <c r="AY10" s="1"/>
      <c r="AZ10" s="66"/>
      <c r="BA10" s="67"/>
      <c r="BB10" s="67"/>
      <c r="BC10" s="67"/>
      <c r="BD10" s="67"/>
      <c r="BE10" s="67"/>
      <c r="BF10" s="67"/>
      <c r="BG10" s="67"/>
      <c r="BH10" s="185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5"/>
      <c r="BU10" s="1"/>
      <c r="BV10">
        <v>1</v>
      </c>
    </row>
    <row r="11" spans="2:89" x14ac:dyDescent="0.3">
      <c r="B11" s="480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7"/>
      <c r="Q11" s="60"/>
      <c r="R11" s="60"/>
      <c r="S11" s="60"/>
      <c r="T11" s="42"/>
      <c r="U11" s="481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3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1"/>
      <c r="AY11" s="1"/>
      <c r="AZ11" s="66"/>
      <c r="BA11" s="67"/>
      <c r="BB11" s="67"/>
      <c r="BC11" s="67"/>
      <c r="BD11" s="67"/>
      <c r="BE11" s="67"/>
      <c r="BF11" s="67"/>
      <c r="BG11" s="67"/>
      <c r="BH11" s="185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5"/>
      <c r="BU11" s="1"/>
      <c r="BV11">
        <f>+BV10+1</f>
        <v>2</v>
      </c>
    </row>
    <row r="12" spans="2:89" x14ac:dyDescent="0.3">
      <c r="B12" s="393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7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3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4">
        <f t="shared" ref="AU12:AU43" si="9">+AO12/H12</f>
        <v>5.2977767195452243E-3</v>
      </c>
      <c r="AV12" s="344"/>
      <c r="AW12" s="24">
        <f t="shared" ref="AW12:AW43" si="10">+AO12/BV12</f>
        <v>59.333333333333336</v>
      </c>
      <c r="AX12" s="352"/>
      <c r="AY12" s="1"/>
      <c r="AZ12" s="66"/>
      <c r="BA12" s="67"/>
      <c r="BB12" s="67"/>
      <c r="BC12" s="67"/>
      <c r="BD12" s="67"/>
      <c r="BE12" s="67"/>
      <c r="BF12" s="67"/>
      <c r="BG12" s="67"/>
      <c r="BH12" s="185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5"/>
      <c r="BU12" s="1"/>
      <c r="BV12">
        <f t="shared" ref="BV12:BV76" si="11">+BV11+1</f>
        <v>3</v>
      </c>
    </row>
    <row r="13" spans="2:89" x14ac:dyDescent="0.3">
      <c r="B13" s="172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7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3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4">
        <f t="shared" si="9"/>
        <v>6.740238078917906E-3</v>
      </c>
      <c r="AV13" s="344"/>
      <c r="AW13" s="24">
        <f t="shared" si="10"/>
        <v>73.75</v>
      </c>
      <c r="AX13" s="354"/>
      <c r="AY13" s="1"/>
      <c r="AZ13" s="66"/>
      <c r="BA13" s="67"/>
      <c r="BB13" s="67"/>
      <c r="BC13" s="67"/>
      <c r="BD13" s="67"/>
      <c r="BE13" s="67"/>
      <c r="BF13" s="67"/>
      <c r="BG13" s="67"/>
      <c r="BH13" s="185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5"/>
      <c r="BU13" s="1"/>
      <c r="BV13">
        <f t="shared" si="11"/>
        <v>4</v>
      </c>
    </row>
    <row r="14" spans="2:89" x14ac:dyDescent="0.3">
      <c r="B14" s="172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7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3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4">
        <f t="shared" si="9"/>
        <v>6.8907685576782849E-3</v>
      </c>
      <c r="AV14" s="344"/>
      <c r="AW14" s="24">
        <f t="shared" si="10"/>
        <v>75.599999999999994</v>
      </c>
      <c r="AX14" s="354"/>
      <c r="AY14" s="1"/>
      <c r="AZ14" s="66"/>
      <c r="BA14" s="67"/>
      <c r="BB14" s="67"/>
      <c r="BC14" s="67"/>
      <c r="BD14" s="67"/>
      <c r="BE14" s="67"/>
      <c r="BF14" s="67"/>
      <c r="BG14" s="67"/>
      <c r="BH14" s="185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5"/>
      <c r="BU14" s="1"/>
      <c r="BV14">
        <f t="shared" si="11"/>
        <v>5</v>
      </c>
      <c r="CK14" s="56"/>
    </row>
    <row r="15" spans="2:89" x14ac:dyDescent="0.3">
      <c r="B15" s="172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7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3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4">
        <f t="shared" si="9"/>
        <v>5.7761944554397381E-3</v>
      </c>
      <c r="AV15" s="344"/>
      <c r="AW15" s="24">
        <f t="shared" si="10"/>
        <v>65.666666666666671</v>
      </c>
      <c r="AX15" s="354"/>
      <c r="AY15" s="1"/>
      <c r="AZ15" s="66"/>
      <c r="BA15" s="67"/>
      <c r="BB15" s="67"/>
      <c r="BC15" s="67"/>
      <c r="BD15" s="67"/>
      <c r="BE15" s="67"/>
      <c r="BF15" s="67"/>
      <c r="BG15" s="67"/>
      <c r="BH15" s="185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5"/>
      <c r="BU15" s="1"/>
      <c r="BV15">
        <f t="shared" si="11"/>
        <v>6</v>
      </c>
      <c r="CK15" s="56"/>
    </row>
    <row r="16" spans="2:89" x14ac:dyDescent="0.3">
      <c r="B16" s="172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7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3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4">
        <f t="shared" si="9"/>
        <v>2.1864575408205068E-2</v>
      </c>
      <c r="AV16" s="344"/>
      <c r="AW16" s="24">
        <f t="shared" si="10"/>
        <v>266.85714285714283</v>
      </c>
      <c r="AX16" s="354"/>
      <c r="AY16" s="1"/>
      <c r="AZ16" s="66"/>
      <c r="BA16" s="67"/>
      <c r="BB16" s="67"/>
      <c r="BC16" s="67"/>
      <c r="BD16" s="67"/>
      <c r="BE16" s="67"/>
      <c r="BF16" s="67"/>
      <c r="BG16" s="67"/>
      <c r="BH16" s="185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5"/>
      <c r="BU16" s="1"/>
      <c r="BV16">
        <f t="shared" si="11"/>
        <v>7</v>
      </c>
      <c r="CK16" s="56"/>
    </row>
    <row r="17" spans="2:89" x14ac:dyDescent="0.3">
      <c r="B17" s="172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7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3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4">
        <f t="shared" si="9"/>
        <v>2.4220655744002458E-2</v>
      </c>
      <c r="AV17" s="344"/>
      <c r="AW17" s="24">
        <f t="shared" si="10"/>
        <v>315.25</v>
      </c>
      <c r="AX17" s="354"/>
      <c r="AY17" s="1"/>
      <c r="AZ17" s="66"/>
      <c r="BA17" s="67"/>
      <c r="BB17" s="67"/>
      <c r="BC17" s="67"/>
      <c r="BD17" s="67"/>
      <c r="BE17" s="67"/>
      <c r="BF17" s="67"/>
      <c r="BG17" s="67"/>
      <c r="BH17" s="185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5"/>
      <c r="BU17" s="1"/>
      <c r="BV17">
        <f t="shared" si="11"/>
        <v>8</v>
      </c>
      <c r="CK17" s="56"/>
    </row>
    <row r="18" spans="2:89" x14ac:dyDescent="0.3">
      <c r="B18" s="480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7"/>
      <c r="Q18" s="60"/>
      <c r="R18" s="60"/>
      <c r="S18" s="60"/>
      <c r="T18" s="42"/>
      <c r="U18" s="481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3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4">
        <f t="shared" si="9"/>
        <v>2.6145430416417162E-2</v>
      </c>
      <c r="AV18" s="344"/>
      <c r="AW18" s="24">
        <f t="shared" si="10"/>
        <v>359</v>
      </c>
      <c r="AX18" s="354"/>
      <c r="AY18" s="1"/>
      <c r="AZ18" s="66"/>
      <c r="BA18" s="67"/>
      <c r="BB18" s="67"/>
      <c r="BC18" s="67"/>
      <c r="BD18" s="67"/>
      <c r="BE18" s="67"/>
      <c r="BF18" s="67"/>
      <c r="BG18" s="67"/>
      <c r="BH18" s="185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5"/>
      <c r="BU18" s="1"/>
      <c r="BV18">
        <f t="shared" si="11"/>
        <v>9</v>
      </c>
      <c r="CK18" s="56"/>
    </row>
    <row r="19" spans="2:89" x14ac:dyDescent="0.3">
      <c r="B19" s="393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7"/>
      <c r="Q19" s="60"/>
      <c r="R19" s="60"/>
      <c r="S19" s="60"/>
      <c r="T19" s="42"/>
      <c r="U19" s="394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3"/>
      <c r="AD19" s="33">
        <f t="shared" si="5"/>
        <v>258.3</v>
      </c>
      <c r="AE19" s="50"/>
      <c r="AF19" s="33"/>
      <c r="AG19" s="33"/>
      <c r="AH19" s="33"/>
      <c r="AI19" s="49"/>
      <c r="AJ19" s="394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4">
        <f t="shared" si="9"/>
        <v>3.1772027513920734E-2</v>
      </c>
      <c r="AV19" s="344"/>
      <c r="AW19" s="24">
        <f t="shared" si="10"/>
        <v>455.9</v>
      </c>
      <c r="AX19" s="354"/>
      <c r="AY19" s="394"/>
      <c r="AZ19" s="66"/>
      <c r="BA19" s="67"/>
      <c r="BB19" s="67"/>
      <c r="BC19" s="67"/>
      <c r="BD19" s="67"/>
      <c r="BE19" s="67"/>
      <c r="BF19" s="67"/>
      <c r="BG19" s="67"/>
      <c r="BH19" s="185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5"/>
      <c r="BU19" s="1"/>
      <c r="BV19">
        <f t="shared" si="11"/>
        <v>10</v>
      </c>
      <c r="CK19" s="56"/>
    </row>
    <row r="20" spans="2:89" x14ac:dyDescent="0.3">
      <c r="B20" s="173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7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3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4">
        <f t="shared" si="9"/>
        <v>3.3605136593344888E-2</v>
      </c>
      <c r="AV20" s="344"/>
      <c r="AW20" s="24">
        <f t="shared" si="10"/>
        <v>500.54545454545456</v>
      </c>
      <c r="AX20" s="354"/>
      <c r="AY20" s="10"/>
      <c r="AZ20" s="66"/>
      <c r="BA20" s="67"/>
      <c r="BB20" s="67"/>
      <c r="BC20" s="67"/>
      <c r="BD20" s="67"/>
      <c r="BE20" s="67"/>
      <c r="BF20" s="67"/>
      <c r="BG20" s="67"/>
      <c r="BH20" s="185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5"/>
      <c r="BU20" s="1"/>
      <c r="BV20">
        <f t="shared" si="11"/>
        <v>11</v>
      </c>
      <c r="CK20" s="56"/>
    </row>
    <row r="21" spans="2:89" x14ac:dyDescent="0.3">
      <c r="B21" s="173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7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4">
        <f t="shared" si="9"/>
        <v>3.8449301644872896E-2</v>
      </c>
      <c r="AV21" s="344"/>
      <c r="AW21" s="24">
        <f t="shared" si="10"/>
        <v>604.25</v>
      </c>
      <c r="AX21" s="354"/>
      <c r="AY21" s="1"/>
      <c r="AZ21" s="66"/>
      <c r="BA21" s="67"/>
      <c r="BB21" s="67"/>
      <c r="BC21" s="67"/>
      <c r="BD21" s="67"/>
      <c r="BE21" s="67"/>
      <c r="BF21" s="67"/>
      <c r="BG21" s="67"/>
      <c r="BH21" s="185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5"/>
      <c r="BU21" s="1"/>
      <c r="BV21">
        <f t="shared" si="11"/>
        <v>12</v>
      </c>
      <c r="CK21" s="56"/>
    </row>
    <row r="22" spans="2:89" x14ac:dyDescent="0.3">
      <c r="B22" s="173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7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4">
        <f t="shared" si="9"/>
        <v>4.1281694790731849E-2</v>
      </c>
      <c r="AV22" s="344"/>
      <c r="AW22" s="24">
        <f t="shared" si="10"/>
        <v>682.92307692307691</v>
      </c>
      <c r="AX22" s="354"/>
      <c r="AY22" s="1"/>
      <c r="AZ22" s="66"/>
      <c r="BA22" s="67"/>
      <c r="BB22" s="67"/>
      <c r="BC22" s="67"/>
      <c r="BD22" s="67"/>
      <c r="BE22" s="67"/>
      <c r="BF22" s="67"/>
      <c r="BG22" s="67"/>
      <c r="BH22" s="185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5"/>
      <c r="BU22" s="1"/>
      <c r="BV22">
        <f t="shared" si="11"/>
        <v>13</v>
      </c>
    </row>
    <row r="23" spans="2:89" x14ac:dyDescent="0.3">
      <c r="B23" s="173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7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4">
        <f t="shared" si="9"/>
        <v>4.2482552465115141E-2</v>
      </c>
      <c r="AV23" s="344"/>
      <c r="AW23" s="24">
        <f t="shared" si="10"/>
        <v>743.07142857142856</v>
      </c>
      <c r="AX23" s="354"/>
      <c r="AY23" s="1"/>
      <c r="AZ23" s="66"/>
      <c r="BA23" s="67"/>
      <c r="BB23" s="67"/>
      <c r="BC23" s="67"/>
      <c r="BD23" s="67"/>
      <c r="BE23" s="67"/>
      <c r="BF23" s="67"/>
      <c r="BG23" s="67"/>
      <c r="BH23" s="185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5"/>
      <c r="BU23" s="1"/>
      <c r="BV23">
        <f t="shared" si="11"/>
        <v>14</v>
      </c>
    </row>
    <row r="24" spans="2:89" x14ac:dyDescent="0.3">
      <c r="B24" s="173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2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7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2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4">
        <f t="shared" si="9"/>
        <v>4.3789874441355278E-2</v>
      </c>
      <c r="AV24" s="344"/>
      <c r="AW24" s="24">
        <f t="shared" si="10"/>
        <v>815.86666666666667</v>
      </c>
      <c r="AX24" s="354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5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5"/>
      <c r="BU24" s="1"/>
      <c r="BV24">
        <f t="shared" si="11"/>
        <v>15</v>
      </c>
    </row>
    <row r="25" spans="2:89" x14ac:dyDescent="0.3">
      <c r="B25" s="480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481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4">
        <f t="shared" si="9"/>
        <v>4.726349918862998E-2</v>
      </c>
      <c r="AV25" s="344"/>
      <c r="AW25" s="24">
        <f t="shared" si="10"/>
        <v>926.5625</v>
      </c>
      <c r="AX25" s="354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5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5"/>
      <c r="BU25" s="1"/>
      <c r="BV25">
        <f t="shared" si="11"/>
        <v>16</v>
      </c>
    </row>
    <row r="26" spans="2:89" x14ac:dyDescent="0.3">
      <c r="B26" s="393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4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4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4">
        <f t="shared" si="9"/>
        <v>5.3032157954823696E-2</v>
      </c>
      <c r="AV26" s="344"/>
      <c r="AW26" s="24">
        <f t="shared" si="10"/>
        <v>1057.4705882352941</v>
      </c>
      <c r="AX26" s="354"/>
      <c r="AY26" s="394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5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5"/>
      <c r="BU26" s="1"/>
      <c r="BV26">
        <f t="shared" si="11"/>
        <v>17</v>
      </c>
    </row>
    <row r="27" spans="2:89" x14ac:dyDescent="0.3">
      <c r="B27" s="173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4">
        <f t="shared" si="9"/>
        <v>5.3137147379880227E-2</v>
      </c>
      <c r="AV27" s="344"/>
      <c r="AW27" s="24">
        <f t="shared" si="10"/>
        <v>1092.8333333333333</v>
      </c>
      <c r="AX27" s="354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5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5"/>
      <c r="BU27" s="1"/>
      <c r="BV27">
        <f t="shared" si="11"/>
        <v>18</v>
      </c>
    </row>
    <row r="28" spans="2:89" x14ac:dyDescent="0.3">
      <c r="B28" s="173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4">
        <f t="shared" si="9"/>
        <v>5.3694633757212257E-2</v>
      </c>
      <c r="AV28" s="344"/>
      <c r="AW28" s="24">
        <f t="shared" si="10"/>
        <v>1140.7368421052631</v>
      </c>
      <c r="AX28" s="354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5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5"/>
      <c r="BU28" s="1"/>
      <c r="BV28">
        <f t="shared" si="11"/>
        <v>19</v>
      </c>
    </row>
    <row r="29" spans="2:89" x14ac:dyDescent="0.3">
      <c r="B29" s="173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4">
        <f t="shared" si="9"/>
        <v>5.2551952762702372E-2</v>
      </c>
      <c r="AV29" s="344"/>
      <c r="AW29" s="24">
        <f t="shared" si="10"/>
        <v>1144.55</v>
      </c>
      <c r="AX29" s="354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5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5"/>
      <c r="BU29" s="1"/>
      <c r="BV29">
        <f t="shared" si="11"/>
        <v>20</v>
      </c>
    </row>
    <row r="30" spans="2:89" x14ac:dyDescent="0.3">
      <c r="B30" s="173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4">
        <f t="shared" si="9"/>
        <v>5.5268969398282755E-2</v>
      </c>
      <c r="AV30" s="344"/>
      <c r="AW30" s="24">
        <f t="shared" si="10"/>
        <v>1234.6666666666667</v>
      </c>
      <c r="AX30" s="354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5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5"/>
      <c r="BU30" s="1"/>
      <c r="BV30">
        <f t="shared" si="11"/>
        <v>21</v>
      </c>
    </row>
    <row r="31" spans="2:89" x14ac:dyDescent="0.3">
      <c r="B31" s="173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4">
        <f t="shared" si="9"/>
        <v>5.4315576802233555E-2</v>
      </c>
      <c r="AV31" s="344"/>
      <c r="AW31" s="24">
        <f t="shared" si="10"/>
        <v>1241.5454545454545</v>
      </c>
      <c r="AX31" s="354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5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5"/>
      <c r="BU31" s="1"/>
      <c r="BV31">
        <f t="shared" si="11"/>
        <v>22</v>
      </c>
    </row>
    <row r="32" spans="2:89" x14ac:dyDescent="0.3">
      <c r="B32" s="480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60"/>
      <c r="S32" s="16"/>
      <c r="T32" s="41"/>
      <c r="U32" s="481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233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4">
        <f t="shared" si="9"/>
        <v>5.7148058001910376E-2</v>
      </c>
      <c r="AV32" s="344"/>
      <c r="AW32" s="24">
        <f t="shared" si="10"/>
        <v>1324.0434782608695</v>
      </c>
      <c r="AX32" s="354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5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5"/>
      <c r="BU32" s="1"/>
      <c r="BV32">
        <f t="shared" si="11"/>
        <v>23</v>
      </c>
    </row>
    <row r="33" spans="2:74" x14ac:dyDescent="0.3">
      <c r="B33" s="393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4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3">
        <f>+(AF33-AF26)/AF26</f>
        <v>0.77278544006824967</v>
      </c>
      <c r="AI33" s="50"/>
      <c r="AJ33" s="394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4">
        <f t="shared" si="9"/>
        <v>5.8243797965375689E-2</v>
      </c>
      <c r="AV33" s="344"/>
      <c r="AW33" s="24">
        <f t="shared" si="10"/>
        <v>1359.75</v>
      </c>
      <c r="AX33" s="354"/>
      <c r="AY33" s="394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5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5"/>
      <c r="BU33" s="1"/>
      <c r="BV33">
        <f t="shared" si="11"/>
        <v>24</v>
      </c>
    </row>
    <row r="34" spans="2:74" x14ac:dyDescent="0.3">
      <c r="B34" s="173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3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4">
        <f t="shared" si="9"/>
        <v>6.1767707486783167E-2</v>
      </c>
      <c r="AV34" s="344"/>
      <c r="AW34" s="24">
        <f t="shared" si="10"/>
        <v>1450.16</v>
      </c>
      <c r="AX34" s="354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5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5"/>
      <c r="BU34" s="1"/>
      <c r="BV34">
        <f t="shared" si="11"/>
        <v>25</v>
      </c>
    </row>
    <row r="35" spans="2:74" x14ac:dyDescent="0.3">
      <c r="B35" s="173">
        <f t="shared" si="6"/>
        <v>43935</v>
      </c>
      <c r="D35" s="17">
        <v>30720</v>
      </c>
      <c r="E35" s="16"/>
      <c r="F35" s="16"/>
      <c r="G35" s="16"/>
      <c r="H35" s="16">
        <f>+H34+D35+5109-168</f>
        <v>622602</v>
      </c>
      <c r="I35" s="333" t="s">
        <v>69</v>
      </c>
      <c r="J35" s="38">
        <f t="shared" si="1"/>
        <v>5.2339161857835798E-2</v>
      </c>
      <c r="K35" s="16"/>
      <c r="L35" s="16"/>
      <c r="M35" s="16"/>
      <c r="N35" s="16">
        <f t="shared" si="2"/>
        <v>23946.23076923077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</f>
        <v>30142</v>
      </c>
      <c r="AA35" s="343" t="s">
        <v>69</v>
      </c>
      <c r="AB35" s="46">
        <f t="shared" si="4"/>
        <v>4.8412950809666531E-2</v>
      </c>
      <c r="AC35" s="33"/>
      <c r="AD35" s="33">
        <f t="shared" si="5"/>
        <v>1159.3076923076924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4">
        <f t="shared" si="9"/>
        <v>6.23512291961799E-2</v>
      </c>
      <c r="AV35" s="344"/>
      <c r="AW35" s="24">
        <f t="shared" si="10"/>
        <v>1493.0769230769231</v>
      </c>
      <c r="AX35" s="354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5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5"/>
      <c r="BU35" s="1"/>
      <c r="BV35">
        <f t="shared" si="11"/>
        <v>26</v>
      </c>
    </row>
    <row r="36" spans="2:74" x14ac:dyDescent="0.3">
      <c r="B36" s="173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652944</v>
      </c>
      <c r="I36" s="16"/>
      <c r="J36" s="38">
        <f t="shared" si="1"/>
        <v>4.8734183314541234E-2</v>
      </c>
      <c r="K36" s="16"/>
      <c r="L36" s="16"/>
      <c r="M36" s="16"/>
      <c r="N36" s="16">
        <f t="shared" si="2"/>
        <v>24183.111111111109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32760</v>
      </c>
      <c r="AA36" s="33"/>
      <c r="AB36" s="46">
        <f t="shared" si="4"/>
        <v>5.0172756009703744E-2</v>
      </c>
      <c r="AC36" s="33"/>
      <c r="AD36" s="33">
        <f t="shared" si="5"/>
        <v>1213.3333333333333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4">
        <f t="shared" si="9"/>
        <v>7.4586794579627039E-2</v>
      </c>
      <c r="AV36" s="344"/>
      <c r="AW36" s="24">
        <f t="shared" si="10"/>
        <v>1803.7407407407406</v>
      </c>
      <c r="AX36" s="354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5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5"/>
      <c r="BU36" s="1"/>
      <c r="BV36">
        <f t="shared" si="11"/>
        <v>27</v>
      </c>
    </row>
    <row r="37" spans="2:74" x14ac:dyDescent="0.3">
      <c r="B37" s="173">
        <f t="shared" si="6"/>
        <v>43937</v>
      </c>
      <c r="D37" s="17">
        <v>29567</v>
      </c>
      <c r="E37" s="16"/>
      <c r="F37" s="16"/>
      <c r="G37" s="16"/>
      <c r="H37" s="16">
        <f t="shared" si="18"/>
        <v>682511</v>
      </c>
      <c r="I37" s="16"/>
      <c r="J37" s="38">
        <f t="shared" si="1"/>
        <v>4.5282596976157219E-2</v>
      </c>
      <c r="K37" s="16"/>
      <c r="L37" s="16"/>
      <c r="M37" s="16"/>
      <c r="N37" s="16">
        <f t="shared" si="2"/>
        <v>24375.392857142859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34936</v>
      </c>
      <c r="AA37" s="33"/>
      <c r="AB37" s="46">
        <f t="shared" si="4"/>
        <v>5.1187453389029629E-2</v>
      </c>
      <c r="AC37" s="33"/>
      <c r="AD37" s="33">
        <f t="shared" si="5"/>
        <v>1247.7142857142858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4">
        <f t="shared" si="9"/>
        <v>8.4259447833075221E-2</v>
      </c>
      <c r="AV37" s="344"/>
      <c r="AW37" s="24">
        <f t="shared" si="10"/>
        <v>2053.8571428571427</v>
      </c>
      <c r="AX37" s="354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5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5"/>
      <c r="BU37" s="1"/>
      <c r="BV37">
        <f t="shared" si="11"/>
        <v>28</v>
      </c>
    </row>
    <row r="38" spans="2:74" x14ac:dyDescent="0.3">
      <c r="B38" s="173">
        <f t="shared" si="6"/>
        <v>43938</v>
      </c>
      <c r="D38" s="17">
        <v>32165</v>
      </c>
      <c r="E38" s="16"/>
      <c r="F38" s="16"/>
      <c r="G38" s="16"/>
      <c r="H38" s="16">
        <f t="shared" si="18"/>
        <v>714676</v>
      </c>
      <c r="I38" s="16"/>
      <c r="J38" s="38">
        <f t="shared" si="1"/>
        <v>4.7127445564979907E-2</v>
      </c>
      <c r="K38" s="16"/>
      <c r="L38" s="16"/>
      <c r="M38" s="16"/>
      <c r="N38" s="16">
        <f t="shared" si="2"/>
        <v>24644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37464</v>
      </c>
      <c r="AA38" s="33"/>
      <c r="AB38" s="46">
        <f t="shared" si="4"/>
        <v>5.2420957188991937E-2</v>
      </c>
      <c r="AC38" s="33"/>
      <c r="AD38" s="33">
        <f t="shared" si="5"/>
        <v>1291.8620689655172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4">
        <f t="shared" si="9"/>
        <v>8.4667737548203656E-2</v>
      </c>
      <c r="AV38" s="344"/>
      <c r="AW38" s="24">
        <f t="shared" si="10"/>
        <v>2086.5517241379312</v>
      </c>
      <c r="AX38" s="354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5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5"/>
      <c r="BU38" s="1"/>
      <c r="BV38">
        <f t="shared" si="11"/>
        <v>29</v>
      </c>
    </row>
    <row r="39" spans="2:74" x14ac:dyDescent="0.3">
      <c r="B39" s="298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743733</v>
      </c>
      <c r="I39" s="16"/>
      <c r="J39" s="38">
        <f t="shared" si="1"/>
        <v>4.0657584695722254E-2</v>
      </c>
      <c r="K39" s="16"/>
      <c r="L39" s="16"/>
      <c r="M39" s="16"/>
      <c r="N39" s="16">
        <f t="shared" si="2"/>
        <v>24791.1</v>
      </c>
      <c r="O39" s="41"/>
      <c r="P39" s="17"/>
      <c r="Q39" s="16"/>
      <c r="R39" s="60"/>
      <c r="S39" s="16"/>
      <c r="T39" s="41"/>
      <c r="U39" s="7"/>
      <c r="V39" s="34">
        <v>1867</v>
      </c>
      <c r="W39" s="33"/>
      <c r="X39" s="33"/>
      <c r="Y39" s="33"/>
      <c r="Z39" s="33">
        <f t="shared" si="19"/>
        <v>39331</v>
      </c>
      <c r="AA39" s="33"/>
      <c r="AB39" s="46">
        <f t="shared" si="4"/>
        <v>5.2883225566164205E-2</v>
      </c>
      <c r="AC39" s="33"/>
      <c r="AD39" s="33">
        <f t="shared" si="5"/>
        <v>1311.0333333333333</v>
      </c>
      <c r="AE39" s="50"/>
      <c r="AF39" s="33"/>
      <c r="AG39" s="33"/>
      <c r="AH39" s="233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4">
        <f t="shared" si="9"/>
        <v>9.1792350211702317E-2</v>
      </c>
      <c r="AV39" s="344"/>
      <c r="AW39" s="24">
        <f t="shared" si="10"/>
        <v>2275.6333333333332</v>
      </c>
      <c r="AX39" s="354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5"/>
      <c r="BI39" s="67"/>
      <c r="BJ39" s="67"/>
      <c r="BK39" s="67"/>
      <c r="BL39" s="15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5"/>
      <c r="BU39" s="90"/>
      <c r="BV39" s="110">
        <f t="shared" si="11"/>
        <v>30</v>
      </c>
    </row>
    <row r="40" spans="2:74" x14ac:dyDescent="0.3">
      <c r="B40" s="393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769916</v>
      </c>
      <c r="I40" s="16"/>
      <c r="J40" s="38">
        <f t="shared" si="1"/>
        <v>3.5204838295463559E-2</v>
      </c>
      <c r="K40" s="16"/>
      <c r="L40" s="16"/>
      <c r="M40" s="16"/>
      <c r="N40" s="16">
        <f t="shared" si="2"/>
        <v>24836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4"/>
      <c r="V40" s="34">
        <v>1570</v>
      </c>
      <c r="W40" s="33"/>
      <c r="X40" s="33"/>
      <c r="Y40" s="33"/>
      <c r="Z40" s="33">
        <f t="shared" si="19"/>
        <v>40901</v>
      </c>
      <c r="AA40" s="33"/>
      <c r="AB40" s="46">
        <f t="shared" si="4"/>
        <v>5.312397716114485E-2</v>
      </c>
      <c r="AC40" s="33"/>
      <c r="AD40" s="33">
        <f t="shared" si="5"/>
        <v>1319.3870967741937</v>
      </c>
      <c r="AE40" s="50"/>
      <c r="AF40" s="33">
        <f>SUM(V34:V40)</f>
        <v>14701</v>
      </c>
      <c r="AG40" s="33"/>
      <c r="AH40" s="233">
        <f>+(AF40-AF33)/AF33</f>
        <v>0.17909849213987808</v>
      </c>
      <c r="AI40" s="50"/>
      <c r="AJ40" s="394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4">
        <f t="shared" si="9"/>
        <v>9.2221748866110065E-2</v>
      </c>
      <c r="AV40" s="344"/>
      <c r="AW40" s="24">
        <f t="shared" si="10"/>
        <v>2290.4193548387098</v>
      </c>
      <c r="AX40" s="354"/>
      <c r="AY40" s="394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5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5"/>
      <c r="BU40" s="1"/>
      <c r="BV40">
        <f t="shared" si="11"/>
        <v>31</v>
      </c>
    </row>
    <row r="41" spans="2:74" x14ac:dyDescent="0.3">
      <c r="B41" s="173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798059</v>
      </c>
      <c r="I41" s="16"/>
      <c r="J41" s="38">
        <f t="shared" si="1"/>
        <v>3.6553338286254601E-2</v>
      </c>
      <c r="K41" s="16"/>
      <c r="L41" s="16"/>
      <c r="M41" s="16"/>
      <c r="N41" s="16">
        <f t="shared" si="2"/>
        <v>24939.34375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42853</v>
      </c>
      <c r="AA41" s="33"/>
      <c r="AB41" s="46">
        <f t="shared" si="4"/>
        <v>5.369653120884546E-2</v>
      </c>
      <c r="AC41" s="33"/>
      <c r="AD41" s="33">
        <f t="shared" si="5"/>
        <v>1339.15625</v>
      </c>
      <c r="AE41" s="50"/>
      <c r="AF41" s="33"/>
      <c r="AG41" s="33"/>
      <c r="AH41" s="233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4">
        <f t="shared" si="9"/>
        <v>9.0706326224000988E-2</v>
      </c>
      <c r="AV41" s="344"/>
      <c r="AW41" s="24">
        <f t="shared" si="10"/>
        <v>2262.15625</v>
      </c>
      <c r="AX41" s="354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5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5"/>
      <c r="BU41" s="1"/>
      <c r="BV41">
        <f t="shared" si="11"/>
        <v>32</v>
      </c>
    </row>
    <row r="42" spans="2:74" x14ac:dyDescent="0.3">
      <c r="B42" s="173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824164</v>
      </c>
      <c r="I42" s="16"/>
      <c r="J42" s="38">
        <f t="shared" si="1"/>
        <v>3.2710614127526912E-2</v>
      </c>
      <c r="K42" s="16"/>
      <c r="L42" s="16"/>
      <c r="M42" s="16"/>
      <c r="N42" s="16">
        <f t="shared" ref="N42:N68" si="22">+H42/BV42</f>
        <v>24974.666666666668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45536</v>
      </c>
      <c r="AA42" s="33"/>
      <c r="AB42" s="46">
        <f t="shared" ref="AB42:AB68" si="23">+Z42/H42</f>
        <v>5.5251139336345678E-2</v>
      </c>
      <c r="AC42" s="33"/>
      <c r="AD42" s="33">
        <f t="shared" ref="AD42:AD68" si="24">+Z42/BV42</f>
        <v>1379.878787878788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4">
        <f t="shared" si="9"/>
        <v>0.10061468348532573</v>
      </c>
      <c r="AV42" s="344"/>
      <c r="AW42" s="24">
        <f t="shared" si="10"/>
        <v>2512.818181818182</v>
      </c>
      <c r="AX42" s="354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5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5"/>
      <c r="BU42" s="1"/>
      <c r="BV42">
        <f t="shared" si="11"/>
        <v>33</v>
      </c>
    </row>
    <row r="43" spans="2:74" x14ac:dyDescent="0.3">
      <c r="B43" s="173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854374</v>
      </c>
      <c r="I43" s="16"/>
      <c r="J43" s="38">
        <f t="shared" si="1"/>
        <v>3.6655325881741981E-2</v>
      </c>
      <c r="K43" s="16"/>
      <c r="L43" s="16"/>
      <c r="M43" s="16"/>
      <c r="N43" s="16">
        <f t="shared" si="22"/>
        <v>25128.647058823528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47894</v>
      </c>
      <c r="AA43" s="33"/>
      <c r="AB43" s="46">
        <f t="shared" si="23"/>
        <v>5.6057417477591784E-2</v>
      </c>
      <c r="AC43" s="33"/>
      <c r="AD43" s="33">
        <f t="shared" si="24"/>
        <v>1408.6470588235295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4">
        <f t="shared" si="9"/>
        <v>9.8376120996191363E-2</v>
      </c>
      <c r="AV43" s="344"/>
      <c r="AW43" s="24">
        <f t="shared" si="10"/>
        <v>2472.0588235294117</v>
      </c>
      <c r="AX43" s="354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5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5"/>
      <c r="BU43" s="1"/>
      <c r="BV43">
        <f t="shared" si="11"/>
        <v>34</v>
      </c>
    </row>
    <row r="44" spans="2:74" x14ac:dyDescent="0.3">
      <c r="B44" s="173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886274</v>
      </c>
      <c r="I44" s="16"/>
      <c r="J44" s="38">
        <f t="shared" si="1"/>
        <v>3.7337278522052403E-2</v>
      </c>
      <c r="K44" s="16"/>
      <c r="L44" s="16"/>
      <c r="M44" s="16"/>
      <c r="N44" s="16">
        <f t="shared" si="22"/>
        <v>25322.114285714284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50234</v>
      </c>
      <c r="AA44" s="33"/>
      <c r="AB44" s="46">
        <f t="shared" si="23"/>
        <v>5.6679988355745517E-2</v>
      </c>
      <c r="AC44" s="33"/>
      <c r="AD44" s="33">
        <f t="shared" si="24"/>
        <v>1435.2571428571428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4">
        <f t="shared" ref="AU44:AU68" si="25">+AO44/H44</f>
        <v>9.6947445146760486E-2</v>
      </c>
      <c r="AV44" s="344"/>
      <c r="AW44" s="24">
        <f t="shared" ref="AW44:AW68" si="26">+AO44/BV44</f>
        <v>2454.9142857142856</v>
      </c>
      <c r="AX44" s="354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5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5"/>
      <c r="BU44" s="1"/>
      <c r="BV44">
        <f t="shared" si="11"/>
        <v>35</v>
      </c>
    </row>
    <row r="45" spans="2:74" x14ac:dyDescent="0.3">
      <c r="B45" s="173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925038</v>
      </c>
      <c r="I45" s="16"/>
      <c r="J45" s="38">
        <f t="shared" si="1"/>
        <v>4.3738166752042819E-2</v>
      </c>
      <c r="K45" s="16"/>
      <c r="L45" s="16"/>
      <c r="M45" s="16"/>
      <c r="N45" s="16">
        <f t="shared" si="22"/>
        <v>25695.5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52191</v>
      </c>
      <c r="AA45" s="33"/>
      <c r="AB45" s="46">
        <f t="shared" si="23"/>
        <v>5.6420384892296317E-2</v>
      </c>
      <c r="AC45" s="33"/>
      <c r="AD45" s="33">
        <f t="shared" si="24"/>
        <v>1449.75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4">
        <f t="shared" si="25"/>
        <v>0.11938104164369463</v>
      </c>
      <c r="AV45" s="344"/>
      <c r="AW45" s="24">
        <f t="shared" si="26"/>
        <v>3067.5555555555557</v>
      </c>
      <c r="AX45" s="354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5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5"/>
      <c r="BU45" s="1"/>
      <c r="BV45">
        <f t="shared" si="11"/>
        <v>36</v>
      </c>
    </row>
    <row r="46" spans="2:74" x14ac:dyDescent="0.3">
      <c r="B46" s="480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960651</v>
      </c>
      <c r="I46" s="16"/>
      <c r="J46" s="38">
        <f t="shared" si="1"/>
        <v>3.8289237847526261E-2</v>
      </c>
      <c r="K46" s="16"/>
      <c r="L46" s="16"/>
      <c r="M46" s="16"/>
      <c r="N46" s="16">
        <f t="shared" si="22"/>
        <v>25963.54054054054</v>
      </c>
      <c r="O46" s="41"/>
      <c r="P46" s="17"/>
      <c r="Q46" s="16"/>
      <c r="R46" s="60"/>
      <c r="S46" s="16"/>
      <c r="T46" s="41"/>
      <c r="U46" s="481"/>
      <c r="V46" s="34">
        <v>2065</v>
      </c>
      <c r="W46" s="33"/>
      <c r="X46" s="33"/>
      <c r="Y46" s="33"/>
      <c r="Z46" s="33">
        <f t="shared" si="19"/>
        <v>54256</v>
      </c>
      <c r="AA46" s="33"/>
      <c r="AB46" s="46">
        <f t="shared" si="23"/>
        <v>5.6478367273859083E-2</v>
      </c>
      <c r="AC46" s="33"/>
      <c r="AD46" s="33">
        <f t="shared" si="24"/>
        <v>1466.3783783783783</v>
      </c>
      <c r="AE46" s="50"/>
      <c r="AF46" s="33"/>
      <c r="AG46" s="33"/>
      <c r="AH46" s="233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4">
        <f t="shared" si="25"/>
        <v>0.12300200593139445</v>
      </c>
      <c r="AV46" s="344"/>
      <c r="AW46" s="24">
        <f t="shared" si="26"/>
        <v>3193.5675675675675</v>
      </c>
      <c r="AX46" s="354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5"/>
      <c r="BI46" s="67"/>
      <c r="BJ46" s="67"/>
      <c r="BK46" s="67"/>
      <c r="BL46" s="15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5"/>
      <c r="BU46" s="1"/>
      <c r="BV46">
        <f t="shared" si="11"/>
        <v>37</v>
      </c>
    </row>
    <row r="47" spans="2:74" x14ac:dyDescent="0.3">
      <c r="B47" s="393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987160</v>
      </c>
      <c r="I47" s="16"/>
      <c r="J47" s="38">
        <f t="shared" si="1"/>
        <v>2.759482892330305E-2</v>
      </c>
      <c r="K47" s="16"/>
      <c r="L47" s="16"/>
      <c r="M47" s="16"/>
      <c r="N47" s="16">
        <f t="shared" si="22"/>
        <v>25977.894736842107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4"/>
      <c r="V47" s="34">
        <v>1156</v>
      </c>
      <c r="W47" s="33"/>
      <c r="X47" s="33"/>
      <c r="Y47" s="33"/>
      <c r="Z47" s="33">
        <f t="shared" si="19"/>
        <v>55412</v>
      </c>
      <c r="AA47" s="33"/>
      <c r="AB47" s="46">
        <f t="shared" si="23"/>
        <v>5.6132744438591516E-2</v>
      </c>
      <c r="AC47" s="33"/>
      <c r="AD47" s="33">
        <f t="shared" si="24"/>
        <v>1458.2105263157894</v>
      </c>
      <c r="AE47" s="50"/>
      <c r="AF47" s="33">
        <f>SUM(V41:V47)</f>
        <v>14511</v>
      </c>
      <c r="AG47" s="33"/>
      <c r="AH47" s="233">
        <f>+(AF47-AF40)/AF40</f>
        <v>-1.2924290864567036E-2</v>
      </c>
      <c r="AI47" s="50"/>
      <c r="AJ47" s="394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4">
        <f t="shared" si="25"/>
        <v>0.12032598565582074</v>
      </c>
      <c r="AV47" s="344"/>
      <c r="AW47" s="24">
        <f t="shared" si="26"/>
        <v>3125.8157894736842</v>
      </c>
      <c r="AX47" s="354"/>
      <c r="AY47" s="394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5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5"/>
      <c r="BU47" s="1"/>
      <c r="BV47">
        <f t="shared" si="11"/>
        <v>38</v>
      </c>
    </row>
    <row r="48" spans="2:74" x14ac:dyDescent="0.3">
      <c r="B48" s="173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1010356</v>
      </c>
      <c r="I48" s="16"/>
      <c r="J48" s="38">
        <f t="shared" si="1"/>
        <v>2.3497710604157382E-2</v>
      </c>
      <c r="K48" s="16"/>
      <c r="L48" s="16"/>
      <c r="M48" s="16"/>
      <c r="N48" s="16">
        <f t="shared" si="22"/>
        <v>25906.564102564102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56795</v>
      </c>
      <c r="AA48" s="33"/>
      <c r="AB48" s="46">
        <f t="shared" si="23"/>
        <v>5.6212859625716087E-2</v>
      </c>
      <c r="AC48" s="33"/>
      <c r="AD48" s="33">
        <f t="shared" si="24"/>
        <v>1456.2820512820513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4">
        <f t="shared" si="25"/>
        <v>0.13639251907248534</v>
      </c>
      <c r="AV48" s="344"/>
      <c r="AW48" s="24">
        <f t="shared" si="26"/>
        <v>3533.4615384615386</v>
      </c>
      <c r="AX48" s="354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5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5"/>
      <c r="BU48" s="1"/>
      <c r="BV48">
        <f t="shared" si="11"/>
        <v>39</v>
      </c>
    </row>
    <row r="49" spans="2:78" x14ac:dyDescent="0.3">
      <c r="B49" s="173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1035765</v>
      </c>
      <c r="I49" s="16"/>
      <c r="J49" s="38">
        <f t="shared" si="1"/>
        <v>2.5148561497135662E-2</v>
      </c>
      <c r="K49" s="16"/>
      <c r="L49" s="16"/>
      <c r="M49" s="16"/>
      <c r="N49" s="16">
        <f t="shared" si="22"/>
        <v>25894.125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59265</v>
      </c>
      <c r="AA49" s="33"/>
      <c r="AB49" s="46">
        <f t="shared" si="23"/>
        <v>5.7218577573098145E-2</v>
      </c>
      <c r="AC49" s="33"/>
      <c r="AD49" s="33">
        <f t="shared" si="24"/>
        <v>1481.625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4">
        <f t="shared" si="25"/>
        <v>0.13704942723494229</v>
      </c>
      <c r="AV49" s="344"/>
      <c r="AW49" s="24">
        <f t="shared" si="26"/>
        <v>3548.7750000000001</v>
      </c>
      <c r="AX49" s="354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5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5"/>
      <c r="BU49" s="1"/>
      <c r="BV49">
        <f t="shared" si="11"/>
        <v>40</v>
      </c>
    </row>
    <row r="50" spans="2:78" x14ac:dyDescent="0.3">
      <c r="B50" s="173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1064194</v>
      </c>
      <c r="I50" s="16"/>
      <c r="J50" s="38">
        <f t="shared" si="1"/>
        <v>2.7447345681694206E-2</v>
      </c>
      <c r="K50" s="16"/>
      <c r="L50" s="16"/>
      <c r="M50" s="16"/>
      <c r="N50" s="16">
        <f t="shared" si="22"/>
        <v>25955.951219512193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61655</v>
      </c>
      <c r="AA50" s="33"/>
      <c r="AB50" s="46">
        <f t="shared" si="23"/>
        <v>5.7935865077232161E-2</v>
      </c>
      <c r="AC50" s="33"/>
      <c r="AD50" s="33">
        <f t="shared" si="24"/>
        <v>1503.780487804878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4">
        <f t="shared" si="25"/>
        <v>0.13851891666369101</v>
      </c>
      <c r="AV50" s="344"/>
      <c r="AW50" s="24">
        <f t="shared" si="26"/>
        <v>3595.3902439024391</v>
      </c>
      <c r="AX50" s="354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5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5"/>
      <c r="BU50" s="1"/>
      <c r="BV50">
        <f t="shared" si="11"/>
        <v>41</v>
      </c>
    </row>
    <row r="51" spans="2:78" x14ac:dyDescent="0.3">
      <c r="B51" s="173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1095023</v>
      </c>
      <c r="I51" s="16"/>
      <c r="J51" s="38">
        <f t="shared" si="1"/>
        <v>2.8969342056053688E-2</v>
      </c>
      <c r="K51" s="16"/>
      <c r="L51" s="16"/>
      <c r="M51" s="16"/>
      <c r="N51" s="16">
        <f t="shared" si="22"/>
        <v>26071.976190476191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63856</v>
      </c>
      <c r="AA51" s="33"/>
      <c r="AB51" s="46">
        <f t="shared" si="23"/>
        <v>5.8314756858988348E-2</v>
      </c>
      <c r="AC51" s="33"/>
      <c r="AD51" s="33">
        <f t="shared" si="24"/>
        <v>1520.3809523809523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4">
        <f t="shared" si="25"/>
        <v>0.13910575394306787</v>
      </c>
      <c r="AV51" s="344"/>
      <c r="AW51" s="24">
        <f t="shared" si="26"/>
        <v>3626.7619047619046</v>
      </c>
      <c r="AX51" s="354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5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5"/>
      <c r="BU51" s="1"/>
      <c r="BV51">
        <f t="shared" si="11"/>
        <v>42</v>
      </c>
    </row>
    <row r="52" spans="2:78" x14ac:dyDescent="0.3">
      <c r="B52" s="173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1131030</v>
      </c>
      <c r="I52" s="16"/>
      <c r="J52" s="38">
        <f t="shared" ref="J52:J64" si="28">+D52/H51</f>
        <v>3.2882414341981858E-2</v>
      </c>
      <c r="K52" s="16"/>
      <c r="L52" s="16"/>
      <c r="M52" s="16"/>
      <c r="N52" s="16">
        <f t="shared" si="22"/>
        <v>26303.023255813954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65753</v>
      </c>
      <c r="AA52" s="33"/>
      <c r="AB52" s="46">
        <f t="shared" si="23"/>
        <v>5.8135504805354413E-2</v>
      </c>
      <c r="AC52" s="33"/>
      <c r="AD52" s="33">
        <f t="shared" si="24"/>
        <v>1529.1395348837209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4">
        <f t="shared" si="25"/>
        <v>0.14284590152339019</v>
      </c>
      <c r="AV52" s="344"/>
      <c r="AW52" s="24">
        <f t="shared" si="26"/>
        <v>3757.2790697674418</v>
      </c>
      <c r="AX52" s="354"/>
      <c r="AY52" s="1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5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5"/>
      <c r="BU52" s="1"/>
      <c r="BV52">
        <f t="shared" si="11"/>
        <v>43</v>
      </c>
    </row>
    <row r="53" spans="2:78" x14ac:dyDescent="0.3">
      <c r="B53" s="480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1160774</v>
      </c>
      <c r="I53" s="16"/>
      <c r="J53" s="38">
        <f t="shared" si="28"/>
        <v>2.6298153010972301E-2</v>
      </c>
      <c r="K53" s="16"/>
      <c r="L53" s="16"/>
      <c r="M53" s="16"/>
      <c r="N53" s="16">
        <f t="shared" si="22"/>
        <v>26381.227272727272</v>
      </c>
      <c r="O53" s="41"/>
      <c r="P53" s="17"/>
      <c r="Q53" s="16"/>
      <c r="R53" s="60"/>
      <c r="S53" s="16"/>
      <c r="T53" s="41"/>
      <c r="U53" s="481"/>
      <c r="V53" s="34">
        <v>1691</v>
      </c>
      <c r="W53" s="33"/>
      <c r="X53" s="33"/>
      <c r="Y53" s="33"/>
      <c r="Z53" s="33">
        <f t="shared" si="29"/>
        <v>67444</v>
      </c>
      <c r="AA53" s="33"/>
      <c r="AB53" s="46">
        <f t="shared" si="23"/>
        <v>5.810261084414365E-2</v>
      </c>
      <c r="AC53" s="33"/>
      <c r="AD53" s="33">
        <f t="shared" si="24"/>
        <v>1532.8181818181818</v>
      </c>
      <c r="AE53" s="50"/>
      <c r="AF53" s="33"/>
      <c r="AG53" s="33"/>
      <c r="AH53" s="233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4">
        <f t="shared" si="25"/>
        <v>0.14931244152608519</v>
      </c>
      <c r="AV53" s="344"/>
      <c r="AW53" s="24">
        <f t="shared" si="26"/>
        <v>3939.0454545454545</v>
      </c>
      <c r="AX53" s="354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5"/>
      <c r="BI53" s="67"/>
      <c r="BJ53" s="67"/>
      <c r="BK53" s="67"/>
      <c r="BL53" s="15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5"/>
      <c r="BU53" s="1"/>
      <c r="BV53">
        <f t="shared" si="11"/>
        <v>44</v>
      </c>
    </row>
    <row r="54" spans="2:78" x14ac:dyDescent="0.3">
      <c r="B54" s="393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1188122</v>
      </c>
      <c r="I54" s="16"/>
      <c r="J54" s="38">
        <f t="shared" si="28"/>
        <v>2.356014176747584E-2</v>
      </c>
      <c r="K54" s="16"/>
      <c r="L54" s="16"/>
      <c r="M54" s="16"/>
      <c r="N54" s="16">
        <f t="shared" si="22"/>
        <v>26402.711111111112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4"/>
      <c r="V54" s="34">
        <v>1153</v>
      </c>
      <c r="W54" s="33"/>
      <c r="X54" s="33"/>
      <c r="Y54" s="33"/>
      <c r="Z54" s="33">
        <f t="shared" si="29"/>
        <v>68597</v>
      </c>
      <c r="AA54" s="33"/>
      <c r="AB54" s="46">
        <f t="shared" si="23"/>
        <v>5.7735653409330019E-2</v>
      </c>
      <c r="AC54" s="33"/>
      <c r="AD54" s="33">
        <f t="shared" si="24"/>
        <v>1524.3777777777777</v>
      </c>
      <c r="AE54" s="50"/>
      <c r="AF54" s="33">
        <f>SUM(V48:V54)</f>
        <v>13185</v>
      </c>
      <c r="AG54" s="33"/>
      <c r="AH54" s="233">
        <f>+(AF54-AF47)/AF47</f>
        <v>-9.1378953897043619E-2</v>
      </c>
      <c r="AI54" s="50"/>
      <c r="AJ54" s="394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4">
        <f t="shared" si="25"/>
        <v>0.15003762239904656</v>
      </c>
      <c r="AV54" s="344"/>
      <c r="AW54" s="24">
        <f t="shared" si="26"/>
        <v>3961.4</v>
      </c>
      <c r="AX54" s="354"/>
      <c r="AY54" s="394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5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5"/>
      <c r="BU54" s="1"/>
      <c r="BV54">
        <f t="shared" si="11"/>
        <v>45</v>
      </c>
    </row>
    <row r="55" spans="2:78" x14ac:dyDescent="0.3">
      <c r="B55" s="173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1212835</v>
      </c>
      <c r="I55" s="16"/>
      <c r="J55" s="38">
        <f t="shared" si="28"/>
        <v>2.0800052519859072E-2</v>
      </c>
      <c r="K55" s="16"/>
      <c r="L55" s="16"/>
      <c r="M55" s="16"/>
      <c r="N55" s="16">
        <f t="shared" si="22"/>
        <v>26365.978260869564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69921</v>
      </c>
      <c r="AA55" s="33"/>
      <c r="AB55" s="46">
        <f t="shared" si="23"/>
        <v>5.7650875840489432E-2</v>
      </c>
      <c r="AC55" s="33"/>
      <c r="AD55" s="33">
        <f t="shared" si="24"/>
        <v>1520.0217391304348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4">
        <f t="shared" si="25"/>
        <v>0.15503098113098648</v>
      </c>
      <c r="AV55" s="344"/>
      <c r="AW55" s="24">
        <f t="shared" si="26"/>
        <v>4087.5434782608695</v>
      </c>
      <c r="AX55" s="354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5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5"/>
      <c r="BU55" s="1"/>
      <c r="BV55">
        <f t="shared" si="11"/>
        <v>46</v>
      </c>
    </row>
    <row r="56" spans="2:78" x14ac:dyDescent="0.3">
      <c r="B56" s="173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1237633</v>
      </c>
      <c r="I56" s="16"/>
      <c r="J56" s="38">
        <f t="shared" si="28"/>
        <v>2.0446309679387549E-2</v>
      </c>
      <c r="K56" s="16"/>
      <c r="L56" s="16"/>
      <c r="M56" s="16"/>
      <c r="N56" s="16">
        <f t="shared" si="22"/>
        <v>26332.617021276597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72271</v>
      </c>
      <c r="AA56" s="33"/>
      <c r="AB56" s="46">
        <f t="shared" si="23"/>
        <v>5.839453214321208E-2</v>
      </c>
      <c r="AC56" s="33"/>
      <c r="AD56" s="33">
        <f t="shared" si="24"/>
        <v>1537.6808510638298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4">
        <f t="shared" si="25"/>
        <v>0.16210459805128014</v>
      </c>
      <c r="AV56" s="344"/>
      <c r="AW56" s="24">
        <f t="shared" si="26"/>
        <v>4268.6382978723404</v>
      </c>
      <c r="AX56" s="354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5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5"/>
      <c r="BU56" s="1"/>
      <c r="BV56">
        <f t="shared" si="11"/>
        <v>47</v>
      </c>
    </row>
    <row r="57" spans="2:78" x14ac:dyDescent="0.3">
      <c r="B57" s="173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1263092</v>
      </c>
      <c r="I57" s="16"/>
      <c r="J57" s="38">
        <f t="shared" si="28"/>
        <v>2.0570718460157414E-2</v>
      </c>
      <c r="K57" s="16"/>
      <c r="L57" s="16"/>
      <c r="M57" s="16"/>
      <c r="N57" s="16">
        <f t="shared" si="22"/>
        <v>26314.416666666668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74799</v>
      </c>
      <c r="AA57" s="33"/>
      <c r="AB57" s="46">
        <f t="shared" si="23"/>
        <v>5.921896425596869E-2</v>
      </c>
      <c r="AC57" s="33"/>
      <c r="AD57" s="33">
        <f t="shared" si="24"/>
        <v>1558.3125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4">
        <f t="shared" si="25"/>
        <v>0.16333568734502316</v>
      </c>
      <c r="AV57" s="344"/>
      <c r="AW57" s="24">
        <f t="shared" si="26"/>
        <v>4298.083333333333</v>
      </c>
      <c r="AX57" s="354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5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5"/>
      <c r="BU57" s="1"/>
      <c r="BV57">
        <f t="shared" si="11"/>
        <v>48</v>
      </c>
    </row>
    <row r="58" spans="2:78" x14ac:dyDescent="0.3">
      <c r="B58" s="173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1292623</v>
      </c>
      <c r="I58" s="16"/>
      <c r="J58" s="38">
        <f t="shared" si="28"/>
        <v>2.3379927986243283E-2</v>
      </c>
      <c r="K58" s="16"/>
      <c r="L58" s="16"/>
      <c r="M58" s="16"/>
      <c r="N58" s="16">
        <f t="shared" si="22"/>
        <v>26380.061224489797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76928</v>
      </c>
      <c r="AA58" s="33"/>
      <c r="AB58" s="46">
        <f t="shared" si="23"/>
        <v>5.9513098560059659E-2</v>
      </c>
      <c r="AC58" s="33"/>
      <c r="AD58" s="33">
        <f t="shared" si="24"/>
        <v>1569.9591836734694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4">
        <f t="shared" si="25"/>
        <v>0.16806911218506865</v>
      </c>
      <c r="AV58" s="344"/>
      <c r="AW58" s="24">
        <f t="shared" si="26"/>
        <v>4433.6734693877552</v>
      </c>
      <c r="AX58" s="354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5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5"/>
      <c r="BU58" s="1"/>
      <c r="BV58">
        <f t="shared" si="11"/>
        <v>49</v>
      </c>
      <c r="BX58" s="1"/>
      <c r="BZ58" s="1"/>
    </row>
    <row r="59" spans="2:78" x14ac:dyDescent="0.3">
      <c r="B59" s="173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1321785</v>
      </c>
      <c r="I59" s="16"/>
      <c r="J59" s="38">
        <f t="shared" si="28"/>
        <v>2.256032888166155E-2</v>
      </c>
      <c r="K59" s="16"/>
      <c r="L59" s="16"/>
      <c r="M59" s="16"/>
      <c r="N59" s="16">
        <f t="shared" si="22"/>
        <v>26435.7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78615</v>
      </c>
      <c r="AA59" s="33"/>
      <c r="AB59" s="46">
        <f t="shared" si="23"/>
        <v>5.9476389881864294E-2</v>
      </c>
      <c r="AC59" s="33"/>
      <c r="AD59" s="33">
        <f t="shared" si="24"/>
        <v>1572.3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4">
        <f t="shared" si="25"/>
        <v>0.16898360928592773</v>
      </c>
      <c r="AV59" s="344"/>
      <c r="AW59" s="24">
        <f t="shared" si="26"/>
        <v>4467.2</v>
      </c>
      <c r="AX59" s="354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5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5"/>
      <c r="BU59" s="1"/>
      <c r="BV59">
        <f t="shared" si="11"/>
        <v>50</v>
      </c>
    </row>
    <row r="60" spans="2:78" x14ac:dyDescent="0.3">
      <c r="B60" s="480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1347309</v>
      </c>
      <c r="I60" s="16"/>
      <c r="J60" s="38">
        <f t="shared" si="28"/>
        <v>1.9310250910700304E-2</v>
      </c>
      <c r="K60" s="16"/>
      <c r="L60" s="16"/>
      <c r="M60" s="16"/>
      <c r="N60" s="16">
        <f t="shared" si="22"/>
        <v>26417.823529411766</v>
      </c>
      <c r="O60" s="41"/>
      <c r="P60" s="17"/>
      <c r="Q60" s="16"/>
      <c r="R60" s="60"/>
      <c r="S60" s="16"/>
      <c r="T60" s="41"/>
      <c r="U60" s="481"/>
      <c r="V60" s="34">
        <v>1422</v>
      </c>
      <c r="W60" s="33"/>
      <c r="X60" s="33"/>
      <c r="Y60" s="33"/>
      <c r="Z60" s="33">
        <f t="shared" si="29"/>
        <v>80037</v>
      </c>
      <c r="AA60" s="33"/>
      <c r="AB60" s="46">
        <f t="shared" si="23"/>
        <v>5.9405080794383468E-2</v>
      </c>
      <c r="AC60" s="33"/>
      <c r="AD60" s="33">
        <f t="shared" si="24"/>
        <v>1569.3529411764705</v>
      </c>
      <c r="AE60" s="50"/>
      <c r="AF60" s="33"/>
      <c r="AG60" s="33"/>
      <c r="AH60" s="233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4">
        <f t="shared" si="25"/>
        <v>0.17670630864931505</v>
      </c>
      <c r="AV60" s="344"/>
      <c r="AW60" s="24">
        <f t="shared" si="26"/>
        <v>4668.1960784313724</v>
      </c>
      <c r="AX60" s="354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5"/>
      <c r="BI60" s="67"/>
      <c r="BJ60" s="67"/>
      <c r="BK60" s="67"/>
      <c r="BL60" s="15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5"/>
      <c r="BU60" s="1"/>
      <c r="BV60">
        <f t="shared" si="11"/>
        <v>51</v>
      </c>
    </row>
    <row r="61" spans="2:78" x14ac:dyDescent="0.3">
      <c r="B61" s="393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1367638</v>
      </c>
      <c r="I61" s="16"/>
      <c r="J61" s="38">
        <f t="shared" si="28"/>
        <v>1.508859511812064E-2</v>
      </c>
      <c r="K61" s="16"/>
      <c r="L61" s="16"/>
      <c r="M61" s="16"/>
      <c r="N61" s="16">
        <f t="shared" si="22"/>
        <v>26300.73076923077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4"/>
      <c r="V61" s="34">
        <v>750</v>
      </c>
      <c r="W61" s="33"/>
      <c r="X61" s="33"/>
      <c r="Y61" s="33"/>
      <c r="Z61" s="33">
        <f t="shared" si="29"/>
        <v>80787</v>
      </c>
      <c r="AA61" s="33"/>
      <c r="AB61" s="46">
        <f t="shared" si="23"/>
        <v>5.9070455778502791E-2</v>
      </c>
      <c r="AC61" s="33"/>
      <c r="AD61" s="33">
        <f t="shared" si="24"/>
        <v>1553.5961538461538</v>
      </c>
      <c r="AE61" s="50"/>
      <c r="AF61" s="33">
        <f>SUM(V55:V61)</f>
        <v>12190</v>
      </c>
      <c r="AG61" s="33"/>
      <c r="AH61" s="233">
        <f>+(AF61-AF54)/AF54</f>
        <v>-7.5464543041334847E-2</v>
      </c>
      <c r="AI61" s="50"/>
      <c r="AJ61" s="394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4">
        <f t="shared" si="25"/>
        <v>0.18742971458821706</v>
      </c>
      <c r="AV61" s="344"/>
      <c r="AW61" s="24">
        <f t="shared" si="26"/>
        <v>4929.5384615384619</v>
      </c>
      <c r="AX61" s="354"/>
      <c r="AY61" s="394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5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5"/>
      <c r="BU61" s="1"/>
      <c r="BV61">
        <f t="shared" si="11"/>
        <v>52</v>
      </c>
    </row>
    <row r="62" spans="2:78" x14ac:dyDescent="0.3">
      <c r="B62" s="173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1385834</v>
      </c>
      <c r="I62" s="16"/>
      <c r="J62" s="38">
        <f t="shared" si="28"/>
        <v>1.3304690276228066E-2</v>
      </c>
      <c r="K62" s="16"/>
      <c r="L62" s="16"/>
      <c r="M62" s="16"/>
      <c r="N62" s="16">
        <f t="shared" si="22"/>
        <v>26147.811320754718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81847</v>
      </c>
      <c r="AA62" s="33"/>
      <c r="AB62" s="46">
        <f t="shared" si="23"/>
        <v>5.9059743086112768E-2</v>
      </c>
      <c r="AC62" s="33"/>
      <c r="AD62" s="33">
        <f t="shared" si="24"/>
        <v>1544.2830188679245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4">
        <f t="shared" si="25"/>
        <v>0.18921818919149047</v>
      </c>
      <c r="AV62" s="344"/>
      <c r="AW62" s="24">
        <f t="shared" si="26"/>
        <v>4947.6415094339627</v>
      </c>
      <c r="AX62" s="354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5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5"/>
      <c r="BU62" s="1"/>
      <c r="BV62">
        <f t="shared" si="11"/>
        <v>53</v>
      </c>
    </row>
    <row r="63" spans="2:78" x14ac:dyDescent="0.3">
      <c r="B63" s="173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1408636</v>
      </c>
      <c r="I63" s="16"/>
      <c r="J63" s="38">
        <f t="shared" si="28"/>
        <v>1.6453630088452152E-2</v>
      </c>
      <c r="K63" s="16"/>
      <c r="L63" s="16"/>
      <c r="M63" s="16"/>
      <c r="N63" s="16">
        <f t="shared" si="22"/>
        <v>26085.85185185185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83718</v>
      </c>
      <c r="AA63" s="33"/>
      <c r="AB63" s="46">
        <f t="shared" si="23"/>
        <v>5.9431961131193582E-2</v>
      </c>
      <c r="AC63" s="33"/>
      <c r="AD63" s="33">
        <f t="shared" si="24"/>
        <v>1550.3333333333333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4">
        <f t="shared" si="25"/>
        <v>0.20036333020027886</v>
      </c>
      <c r="AV63" s="344"/>
      <c r="AW63" s="24">
        <f t="shared" si="26"/>
        <v>5226.6481481481478</v>
      </c>
      <c r="AX63" s="354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5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5"/>
      <c r="BU63" s="1"/>
      <c r="BV63">
        <f t="shared" si="11"/>
        <v>54</v>
      </c>
    </row>
    <row r="64" spans="2:78" x14ac:dyDescent="0.3">
      <c r="B64" s="173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1430348</v>
      </c>
      <c r="I64" s="16"/>
      <c r="J64" s="38">
        <f t="shared" si="28"/>
        <v>1.5413492200966042E-2</v>
      </c>
      <c r="K64" s="16"/>
      <c r="L64" s="16"/>
      <c r="M64" s="16"/>
      <c r="N64" s="16">
        <f t="shared" si="22"/>
        <v>26006.327272727274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85540</v>
      </c>
      <c r="AA64" s="33"/>
      <c r="AB64" s="46">
        <f t="shared" si="23"/>
        <v>5.9803628207960577E-2</v>
      </c>
      <c r="AC64" s="33"/>
      <c r="AD64" s="33">
        <f t="shared" si="24"/>
        <v>1555.2727272727273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4">
        <f t="shared" si="25"/>
        <v>0.21691154879791491</v>
      </c>
      <c r="AV64" s="344"/>
      <c r="AW64" s="24">
        <f t="shared" si="26"/>
        <v>5641.0727272727272</v>
      </c>
      <c r="AX64" s="354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5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5"/>
      <c r="BU64" s="1"/>
      <c r="BV64">
        <f t="shared" si="11"/>
        <v>55</v>
      </c>
    </row>
    <row r="65" spans="2:74" x14ac:dyDescent="0.3">
      <c r="B65" s="173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" si="35">+H64+D65</f>
        <v>1457593</v>
      </c>
      <c r="I65" s="16"/>
      <c r="J65" s="38">
        <f t="shared" ref="J65" si="36">+D65/H64</f>
        <v>1.9047812140821675E-2</v>
      </c>
      <c r="K65" s="16"/>
      <c r="L65" s="16"/>
      <c r="M65" s="16"/>
      <c r="N65" s="16">
        <f t="shared" si="22"/>
        <v>26028.446428571428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" si="37">+Z64+V65</f>
        <v>87293</v>
      </c>
      <c r="AA65" s="33"/>
      <c r="AB65" s="46">
        <f t="shared" si="23"/>
        <v>5.9888459947324113E-2</v>
      </c>
      <c r="AC65" s="33"/>
      <c r="AD65" s="33">
        <f t="shared" si="24"/>
        <v>1558.8035714285713</v>
      </c>
      <c r="AE65" s="50"/>
      <c r="AF65" s="33"/>
      <c r="AG65" s="33"/>
      <c r="AH65" s="33"/>
      <c r="AI65" s="50"/>
      <c r="AJ65" s="1"/>
      <c r="AK65" s="23">
        <f t="shared" ref="AK65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" si="39">+AK65/AO64</f>
        <v>2.4502109527846091E-2</v>
      </c>
      <c r="AR65" s="25"/>
      <c r="AS65" s="25"/>
      <c r="AT65" s="24"/>
      <c r="AU65" s="344">
        <f t="shared" si="25"/>
        <v>0.21807253465130527</v>
      </c>
      <c r="AV65" s="344"/>
      <c r="AW65" s="24">
        <f t="shared" si="26"/>
        <v>5676.0892857142853</v>
      </c>
      <c r="AX65" s="354"/>
      <c r="AY65" s="1"/>
      <c r="AZ65" s="66">
        <f t="shared" ref="AZ65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" si="41">+BD65/AZ65</f>
        <v>7.4533158980363404E-2</v>
      </c>
      <c r="BG65" s="67"/>
      <c r="BH65" s="185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5"/>
      <c r="BU65" s="1"/>
      <c r="BV65">
        <f t="shared" si="11"/>
        <v>56</v>
      </c>
    </row>
    <row r="66" spans="2:74" x14ac:dyDescent="0.3">
      <c r="B66" s="173">
        <f t="shared" si="6"/>
        <v>43966</v>
      </c>
      <c r="C66" s="61"/>
      <c r="D66" s="17">
        <v>26692</v>
      </c>
      <c r="E66" s="16"/>
      <c r="F66" s="16"/>
      <c r="G66" s="16"/>
      <c r="H66" s="16">
        <f t="shared" ref="H66" si="42">+H65+D66</f>
        <v>1484285</v>
      </c>
      <c r="I66" s="16"/>
      <c r="J66" s="38">
        <f t="shared" ref="J66" si="43">+D66/H65</f>
        <v>1.8312382125874643E-2</v>
      </c>
      <c r="K66" s="16"/>
      <c r="L66" s="16"/>
      <c r="M66" s="16"/>
      <c r="N66" s="16">
        <f t="shared" si="22"/>
        <v>26040.087719298244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ref="Z66" si="44">+Z65+V66</f>
        <v>88895</v>
      </c>
      <c r="AA66" s="33"/>
      <c r="AB66" s="46">
        <f t="shared" si="23"/>
        <v>5.9890789167848492E-2</v>
      </c>
      <c r="AC66" s="33"/>
      <c r="AD66" s="33">
        <f t="shared" si="24"/>
        <v>1559.5614035087719</v>
      </c>
      <c r="AE66" s="50"/>
      <c r="AF66" s="33"/>
      <c r="AG66" s="33"/>
      <c r="AH66" s="33"/>
      <c r="AI66" s="50"/>
      <c r="AJ66" s="1"/>
      <c r="AK66" s="23">
        <f t="shared" ref="AK66" si="45">+AO66-AO65</f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ref="AQ66" si="46">+AK66/AO65</f>
        <v>2.6366871053699573E-2</v>
      </c>
      <c r="AR66" s="25"/>
      <c r="AS66" s="25"/>
      <c r="AT66" s="24"/>
      <c r="AU66" s="344">
        <f t="shared" si="25"/>
        <v>0.2197974108745962</v>
      </c>
      <c r="AV66" s="344"/>
      <c r="AW66" s="24">
        <f t="shared" si="26"/>
        <v>5723.5438596491231</v>
      </c>
      <c r="AX66" s="354"/>
      <c r="AY66" s="1"/>
      <c r="AZ66" s="66">
        <f t="shared" ref="AZ66" si="47">+BB66-BB65</f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ref="BF66" si="48">+BD66/AZ66</f>
        <v>5.8617100241126839E-2</v>
      </c>
      <c r="BG66" s="67"/>
      <c r="BH66" s="185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5"/>
      <c r="BU66" s="1"/>
      <c r="BV66">
        <f t="shared" si="11"/>
        <v>57</v>
      </c>
    </row>
    <row r="67" spans="2:74" x14ac:dyDescent="0.3">
      <c r="B67" s="480">
        <f t="shared" si="6"/>
        <v>43967</v>
      </c>
      <c r="C67" s="61"/>
      <c r="D67" s="17">
        <v>23488</v>
      </c>
      <c r="E67" s="16"/>
      <c r="F67" s="16"/>
      <c r="G67" s="16"/>
      <c r="H67" s="16">
        <f t="shared" ref="H67" si="49">+H66+D67</f>
        <v>1507773</v>
      </c>
      <c r="I67" s="16"/>
      <c r="J67" s="38">
        <f t="shared" ref="J67" si="50">+D67/H66</f>
        <v>1.5824454198486139E-2</v>
      </c>
      <c r="K67" s="16"/>
      <c r="L67" s="16"/>
      <c r="M67" s="16"/>
      <c r="N67" s="16">
        <f t="shared" si="22"/>
        <v>25996.086206896551</v>
      </c>
      <c r="O67" s="41"/>
      <c r="P67" s="17"/>
      <c r="Q67" s="16"/>
      <c r="R67" s="60"/>
      <c r="S67" s="16"/>
      <c r="T67" s="41"/>
      <c r="U67" s="481"/>
      <c r="V67" s="34">
        <v>1218</v>
      </c>
      <c r="W67" s="33"/>
      <c r="X67" s="33"/>
      <c r="Y67" s="33"/>
      <c r="Z67" s="33">
        <f t="shared" ref="Z67" si="51">+Z66+V67</f>
        <v>90113</v>
      </c>
      <c r="AA67" s="33"/>
      <c r="AB67" s="46">
        <f t="shared" si="23"/>
        <v>5.9765627849815588E-2</v>
      </c>
      <c r="AC67" s="33"/>
      <c r="AD67" s="33">
        <f t="shared" si="24"/>
        <v>1553.6724137931035</v>
      </c>
      <c r="AE67" s="50"/>
      <c r="AF67" s="33"/>
      <c r="AG67" s="33"/>
      <c r="AH67" s="233"/>
      <c r="AI67" s="50"/>
      <c r="AJ67" s="1"/>
      <c r="AK67" s="23">
        <f t="shared" ref="AK67" si="52">+AO67-AO66</f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ref="AQ67" si="53">+AK67/AO66</f>
        <v>3.981706831125361E-2</v>
      </c>
      <c r="AR67" s="25"/>
      <c r="AS67" s="25"/>
      <c r="AT67" s="24"/>
      <c r="AU67" s="344">
        <f t="shared" si="25"/>
        <v>0.22498877483546925</v>
      </c>
      <c r="AV67" s="344"/>
      <c r="AW67" s="24">
        <f t="shared" si="26"/>
        <v>5848.8275862068967</v>
      </c>
      <c r="AX67" s="354"/>
      <c r="AY67" s="1"/>
      <c r="AZ67" s="66">
        <f t="shared" ref="AZ67" si="54">+BB67-BB66</f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ref="BF67" si="55">+BD67/AZ67</f>
        <v>5.4029558916556447E-2</v>
      </c>
      <c r="BG67" s="67"/>
      <c r="BH67" s="185"/>
      <c r="BI67" s="67"/>
      <c r="BJ67" s="67"/>
      <c r="BK67" s="67"/>
      <c r="BL67" s="15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5"/>
      <c r="BU67" s="1"/>
      <c r="BV67">
        <f t="shared" si="11"/>
        <v>58</v>
      </c>
    </row>
    <row r="68" spans="2:74" x14ac:dyDescent="0.3">
      <c r="B68" s="393">
        <f t="shared" si="6"/>
        <v>43968</v>
      </c>
      <c r="C68" s="61"/>
      <c r="D68" s="17">
        <v>19891</v>
      </c>
      <c r="E68" s="16"/>
      <c r="F68" s="16"/>
      <c r="G68" s="16"/>
      <c r="H68" s="16">
        <f t="shared" ref="H68" si="56">+H67+D68</f>
        <v>1527664</v>
      </c>
      <c r="I68" s="16"/>
      <c r="J68" s="38">
        <f t="shared" ref="J68" si="57">+D68/H67</f>
        <v>1.3192304146579095E-2</v>
      </c>
      <c r="K68" s="16"/>
      <c r="L68" s="16"/>
      <c r="M68" s="16"/>
      <c r="N68" s="16">
        <f t="shared" si="22"/>
        <v>25892.610169491527</v>
      </c>
      <c r="O68" s="41"/>
      <c r="P68" s="17">
        <f t="shared" ref="P68" si="58">SUM(D62:D68)</f>
        <v>160026</v>
      </c>
      <c r="Q68" s="16"/>
      <c r="R68" s="60">
        <f t="shared" ref="R68" si="59">+(P68-P61)/P61</f>
        <v>-0.10856970966376256</v>
      </c>
      <c r="S68" s="16"/>
      <c r="T68" s="41"/>
      <c r="U68" s="394"/>
      <c r="V68" s="34">
        <v>865</v>
      </c>
      <c r="W68" s="33"/>
      <c r="X68" s="33"/>
      <c r="Y68" s="33"/>
      <c r="Z68" s="33">
        <f t="shared" ref="Z68" si="60">+Z67+V68</f>
        <v>90978</v>
      </c>
      <c r="AA68" s="33"/>
      <c r="AB68" s="46">
        <f t="shared" si="23"/>
        <v>5.955367148797118E-2</v>
      </c>
      <c r="AC68" s="33"/>
      <c r="AD68" s="33">
        <f t="shared" si="24"/>
        <v>1542</v>
      </c>
      <c r="AE68" s="50"/>
      <c r="AF68" s="33">
        <f t="shared" ref="AF68" si="61">SUM(V62:V68)</f>
        <v>10191</v>
      </c>
      <c r="AG68" s="33"/>
      <c r="AH68" s="233">
        <f t="shared" ref="AH68" si="62">+(AF68-AF61)/AF61</f>
        <v>-0.16398687448728466</v>
      </c>
      <c r="AI68" s="50"/>
      <c r="AJ68" s="394"/>
      <c r="AK68" s="23">
        <f t="shared" ref="AK68" si="63">+AO68-AO67</f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ref="AQ68" si="64">+AK68/AO67</f>
        <v>2.109765588152061E-2</v>
      </c>
      <c r="AR68" s="25"/>
      <c r="AS68" s="25"/>
      <c r="AT68" s="24"/>
      <c r="AU68" s="344">
        <f t="shared" si="25"/>
        <v>0.22674423171587468</v>
      </c>
      <c r="AV68" s="344"/>
      <c r="AW68" s="24">
        <f t="shared" si="26"/>
        <v>5871</v>
      </c>
      <c r="AX68" s="354"/>
      <c r="AY68" s="394"/>
      <c r="AZ68" s="66">
        <f t="shared" ref="AZ68" si="65">+BB68-BB67</f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ref="BF68" si="66">+BD68/AZ68</f>
        <v>5.6838736408966868E-2</v>
      </c>
      <c r="BG68" s="67"/>
      <c r="BH68" s="185"/>
      <c r="BI68" s="67"/>
      <c r="BJ68" s="67">
        <f t="shared" ref="BJ68" si="67">SUM(AZ62:AZ68)</f>
        <v>2431055</v>
      </c>
      <c r="BK68" s="67"/>
      <c r="BL68" s="157">
        <f t="shared" ref="BL68" si="68"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5"/>
      <c r="BU68" s="1"/>
      <c r="BV68">
        <f t="shared" si="11"/>
        <v>59</v>
      </c>
    </row>
    <row r="69" spans="2:74" x14ac:dyDescent="0.3">
      <c r="B69" s="173">
        <f t="shared" si="6"/>
        <v>43969</v>
      </c>
      <c r="C69" s="61"/>
      <c r="D69" s="17">
        <v>22630</v>
      </c>
      <c r="E69" s="16"/>
      <c r="F69" s="16"/>
      <c r="G69" s="16"/>
      <c r="H69" s="16">
        <f t="shared" ref="H69" si="69">+H68+D69</f>
        <v>1550294</v>
      </c>
      <c r="I69" s="16"/>
      <c r="J69" s="38">
        <f t="shared" ref="J69" si="70">+D69/H68</f>
        <v>1.4813466835639251E-2</v>
      </c>
      <c r="K69" s="16"/>
      <c r="L69" s="16"/>
      <c r="M69" s="16"/>
      <c r="N69" s="16">
        <f t="shared" ref="N69" si="71">+H69/BV69</f>
        <v>25838.233333333334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ref="Z69" si="72">+Z68+V69</f>
        <v>91981</v>
      </c>
      <c r="AA69" s="33"/>
      <c r="AB69" s="46">
        <f t="shared" ref="AB69" si="73">+Z69/H69</f>
        <v>5.9331326832200861E-2</v>
      </c>
      <c r="AC69" s="33"/>
      <c r="AD69" s="33">
        <f t="shared" ref="AD69" si="74">+Z69/BV69</f>
        <v>1533.0166666666667</v>
      </c>
      <c r="AE69" s="50"/>
      <c r="AF69" s="33"/>
      <c r="AG69" s="33"/>
      <c r="AH69" s="233"/>
      <c r="AI69" s="50"/>
      <c r="AJ69" s="10"/>
      <c r="AK69" s="23">
        <f t="shared" ref="AK69" si="75">+AO69-AO68</f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ref="AQ69" si="76">+AK69/AO68</f>
        <v>2.8851955460479403E-2</v>
      </c>
      <c r="AR69" s="25"/>
      <c r="AS69" s="25"/>
      <c r="AT69" s="24"/>
      <c r="AU69" s="344">
        <f t="shared" ref="AU69" si="77">+AO69/H69</f>
        <v>0.22988091291071241</v>
      </c>
      <c r="AV69" s="344"/>
      <c r="AW69" s="24">
        <f t="shared" ref="AW69" si="78">+AO69/BV69</f>
        <v>5939.7166666666662</v>
      </c>
      <c r="AX69" s="354"/>
      <c r="AY69" s="10"/>
      <c r="AZ69" s="66">
        <f t="shared" ref="AZ69" si="79">+BB69-BB68</f>
        <v>425164</v>
      </c>
      <c r="BA69" s="67"/>
      <c r="BB69" s="67">
        <v>12300744</v>
      </c>
      <c r="BC69" s="67"/>
      <c r="BD69" s="67">
        <f t="shared" ref="BD69" si="80">+D69</f>
        <v>22630</v>
      </c>
      <c r="BE69" s="67"/>
      <c r="BF69" s="157">
        <f t="shared" ref="BF69" si="81">+BD69/AZ69</f>
        <v>5.3226519648888429E-2</v>
      </c>
      <c r="BG69" s="67"/>
      <c r="BH69" s="185"/>
      <c r="BI69" s="67"/>
      <c r="BJ69" s="67"/>
      <c r="BK69" s="67"/>
      <c r="BL69" s="157"/>
      <c r="BM69" s="66">
        <f t="shared" ref="BM69" si="82">+BB69/BV69</f>
        <v>205012.4</v>
      </c>
      <c r="BN69" s="67"/>
      <c r="BO69" s="67">
        <f t="shared" ref="BO69" si="83">+BO68+BD69</f>
        <v>1297972</v>
      </c>
      <c r="BP69" s="67"/>
      <c r="BQ69" s="74">
        <f t="shared" ref="BQ69" si="84">+BO69/BB69</f>
        <v>0.10551979620094525</v>
      </c>
      <c r="BR69" s="67"/>
      <c r="BS69" s="86"/>
      <c r="BT69" s="185"/>
      <c r="BU69" s="1"/>
      <c r="BV69">
        <f t="shared" si="11"/>
        <v>60</v>
      </c>
    </row>
    <row r="70" spans="2:74" x14ac:dyDescent="0.3">
      <c r="B70" s="173">
        <f t="shared" si="6"/>
        <v>43970</v>
      </c>
      <c r="C70" s="61"/>
      <c r="D70" s="17">
        <v>20289</v>
      </c>
      <c r="E70" s="16"/>
      <c r="F70" s="16"/>
      <c r="G70" s="16"/>
      <c r="H70" s="16">
        <f t="shared" ref="H70" si="85">+H69+D70</f>
        <v>1570583</v>
      </c>
      <c r="I70" s="16"/>
      <c r="J70" s="38">
        <f t="shared" ref="J70" si="86">+D70/H69</f>
        <v>1.3087195073966615E-2</v>
      </c>
      <c r="K70" s="16"/>
      <c r="L70" s="16"/>
      <c r="M70" s="16"/>
      <c r="N70" s="16">
        <f t="shared" ref="N70" si="87">+H70/BV70</f>
        <v>25747.262295081968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ref="Z70" si="88">+Z69+V70</f>
        <v>93533</v>
      </c>
      <c r="AA70" s="33"/>
      <c r="AB70" s="46">
        <f t="shared" ref="AB70" si="89">+Z70/H70</f>
        <v>5.9553044952097407E-2</v>
      </c>
      <c r="AC70" s="33"/>
      <c r="AD70" s="33">
        <f t="shared" ref="AD70" si="90">+Z70/BV70</f>
        <v>1533.327868852459</v>
      </c>
      <c r="AE70" s="50"/>
      <c r="AF70" s="33"/>
      <c r="AG70" s="33"/>
      <c r="AH70" s="233"/>
      <c r="AI70" s="50"/>
      <c r="AJ70" s="10"/>
      <c r="AK70" s="23">
        <f t="shared" ref="AK70" si="91">+AO70-AO69</f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ref="AQ70" si="92">+AK70/AO69</f>
        <v>1.346023800237385E-2</v>
      </c>
      <c r="AR70" s="25"/>
      <c r="AS70" s="25"/>
      <c r="AT70" s="24"/>
      <c r="AU70" s="344">
        <f t="shared" ref="AU70" si="93">+AO70/H70</f>
        <v>0.22996556055935916</v>
      </c>
      <c r="AV70" s="344"/>
      <c r="AW70" s="24">
        <f t="shared" ref="AW70" si="94">+AO70/BV70</f>
        <v>5920.9836065573772</v>
      </c>
      <c r="AX70" s="354"/>
      <c r="AY70" s="10"/>
      <c r="AZ70" s="66">
        <f t="shared" ref="AZ70" si="95">+BB70-BB69</f>
        <v>344729</v>
      </c>
      <c r="BA70" s="67"/>
      <c r="BB70" s="67">
        <v>12645473</v>
      </c>
      <c r="BC70" s="67"/>
      <c r="BD70" s="67">
        <f t="shared" ref="BD70" si="96">+D70</f>
        <v>20289</v>
      </c>
      <c r="BE70" s="67"/>
      <c r="BF70" s="157">
        <f t="shared" ref="BF70" si="97">+BD70/AZ70</f>
        <v>5.8854926623521667E-2</v>
      </c>
      <c r="BG70" s="67"/>
      <c r="BH70" s="185"/>
      <c r="BI70" s="67"/>
      <c r="BJ70" s="67"/>
      <c r="BK70" s="67"/>
      <c r="BL70" s="157"/>
      <c r="BM70" s="66">
        <f t="shared" ref="BM70" si="98">+BB70/BV70</f>
        <v>207302.83606557376</v>
      </c>
      <c r="BN70" s="67"/>
      <c r="BO70" s="67">
        <f t="shared" ref="BO70" si="99">+BO69+BD70</f>
        <v>1318261</v>
      </c>
      <c r="BP70" s="67"/>
      <c r="BQ70" s="74">
        <f t="shared" ref="BQ70" si="100">+BO70/BB70</f>
        <v>0.10424766238479177</v>
      </c>
      <c r="BR70" s="67"/>
      <c r="BS70" s="86"/>
      <c r="BT70" s="185"/>
      <c r="BU70" s="1"/>
      <c r="BV70">
        <f t="shared" si="11"/>
        <v>61</v>
      </c>
    </row>
    <row r="71" spans="2:74" x14ac:dyDescent="0.3">
      <c r="B71" s="173">
        <f t="shared" si="6"/>
        <v>43971</v>
      </c>
      <c r="C71" s="61"/>
      <c r="D71" s="17">
        <v>22140</v>
      </c>
      <c r="E71" s="16"/>
      <c r="F71" s="16"/>
      <c r="G71" s="16"/>
      <c r="H71" s="16">
        <f t="shared" ref="H71" si="101">+H70+D71</f>
        <v>1592723</v>
      </c>
      <c r="I71" s="16"/>
      <c r="J71" s="38">
        <f t="shared" ref="J71" si="102">+D71/H70</f>
        <v>1.409667620240382E-2</v>
      </c>
      <c r="K71" s="16"/>
      <c r="L71" s="16"/>
      <c r="M71" s="16"/>
      <c r="N71" s="16">
        <f t="shared" ref="N71" si="103">+H71/BV71</f>
        <v>25689.080645161292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ref="Z71" si="104">+Z70+V71</f>
        <v>94936</v>
      </c>
      <c r="AA71" s="33"/>
      <c r="AB71" s="46">
        <f t="shared" ref="AB71" si="105">+Z71/H71</f>
        <v>5.960609597525747E-2</v>
      </c>
      <c r="AC71" s="33"/>
      <c r="AD71" s="33">
        <f t="shared" ref="AD71" si="106">+Z71/BV71</f>
        <v>1531.2258064516129</v>
      </c>
      <c r="AE71" s="50"/>
      <c r="AF71" s="33"/>
      <c r="AG71" s="33"/>
      <c r="AH71" s="233"/>
      <c r="AI71" s="50"/>
      <c r="AJ71" s="10"/>
      <c r="AK71" s="23">
        <f t="shared" ref="AK71" si="107">+AO71-AO70</f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ref="AQ71" si="108">+AK71/AO70</f>
        <v>2.4630378204773245E-2</v>
      </c>
      <c r="AR71" s="25"/>
      <c r="AS71" s="25"/>
      <c r="AT71" s="24"/>
      <c r="AU71" s="344">
        <f t="shared" ref="AU71" si="109">+AO71/H71</f>
        <v>0.23235427629286448</v>
      </c>
      <c r="AV71" s="344"/>
      <c r="AW71" s="24">
        <f t="shared" ref="AW71" si="110">+AO71/BV71</f>
        <v>5968.9677419354839</v>
      </c>
      <c r="AX71" s="354"/>
      <c r="AY71" s="10"/>
      <c r="AZ71" s="66">
        <f t="shared" ref="AZ71" si="111">+BB71-BB70</f>
        <v>323101</v>
      </c>
      <c r="BA71" s="67"/>
      <c r="BB71" s="67">
        <v>12968574</v>
      </c>
      <c r="BC71" s="67"/>
      <c r="BD71" s="67">
        <f t="shared" ref="BD71" si="112">+D71</f>
        <v>22140</v>
      </c>
      <c r="BE71" s="67"/>
      <c r="BF71" s="157">
        <f t="shared" ref="BF71" si="113">+BD71/AZ71</f>
        <v>6.8523464798932843E-2</v>
      </c>
      <c r="BG71" s="67"/>
      <c r="BH71" s="185"/>
      <c r="BI71" s="67"/>
      <c r="BJ71" s="67"/>
      <c r="BK71" s="67"/>
      <c r="BL71" s="157"/>
      <c r="BM71" s="66">
        <f t="shared" ref="BM71" si="114">+BB71/BV71</f>
        <v>209170.54838709679</v>
      </c>
      <c r="BN71" s="67"/>
      <c r="BO71" s="67">
        <f t="shared" ref="BO71" si="115">+BO70+BD71</f>
        <v>1340401</v>
      </c>
      <c r="BP71" s="67"/>
      <c r="BQ71" s="74">
        <f t="shared" ref="BQ71" si="116">+BO71/BB71</f>
        <v>0.10335762436178411</v>
      </c>
      <c r="BR71" s="67"/>
      <c r="BS71" s="86"/>
      <c r="BT71" s="185"/>
      <c r="BU71" s="1"/>
      <c r="BV71">
        <f t="shared" si="11"/>
        <v>62</v>
      </c>
    </row>
    <row r="72" spans="2:74" x14ac:dyDescent="0.3">
      <c r="B72" s="173">
        <f t="shared" si="6"/>
        <v>43972</v>
      </c>
      <c r="C72" s="61"/>
      <c r="D72" s="17">
        <v>28175</v>
      </c>
      <c r="E72" s="16"/>
      <c r="F72" s="16"/>
      <c r="G72" s="16"/>
      <c r="H72" s="16">
        <f t="shared" ref="H72" si="117">+H71+D72</f>
        <v>1620898</v>
      </c>
      <c r="I72" s="16"/>
      <c r="J72" s="38">
        <f t="shared" ref="J72" si="118">+D72/H71</f>
        <v>1.7689830560618514E-2</v>
      </c>
      <c r="K72" s="16"/>
      <c r="L72" s="16"/>
      <c r="M72" s="16"/>
      <c r="N72" s="16">
        <f t="shared" ref="N72" si="119">+H72/BV72</f>
        <v>25728.539682539682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ref="Z72" si="120">+Z71+V72</f>
        <v>96354</v>
      </c>
      <c r="AA72" s="33"/>
      <c r="AB72" s="46">
        <f t="shared" ref="AB72" si="121">+Z72/H72</f>
        <v>5.9444826262972747E-2</v>
      </c>
      <c r="AC72" s="33"/>
      <c r="AD72" s="33">
        <f t="shared" ref="AD72" si="122">+Z72/BV72</f>
        <v>1529.4285714285713</v>
      </c>
      <c r="AE72" s="50"/>
      <c r="AF72" s="33"/>
      <c r="AG72" s="33"/>
      <c r="AH72" s="233"/>
      <c r="AI72" s="50"/>
      <c r="AJ72" s="10"/>
      <c r="AK72" s="23">
        <f t="shared" ref="AK72" si="123">+AO72-AO71</f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ref="AQ72" si="124">+AK72/AO71</f>
        <v>3.2677071736616263E-2</v>
      </c>
      <c r="AR72" s="25"/>
      <c r="AS72" s="25"/>
      <c r="AT72" s="24"/>
      <c r="AU72" s="344">
        <f t="shared" ref="AU72" si="125">+AO72/H72</f>
        <v>0.23577609448589609</v>
      </c>
      <c r="AV72" s="344"/>
      <c r="AW72" s="24">
        <f t="shared" ref="AW72" si="126">+AO72/BV72</f>
        <v>6066.1746031746034</v>
      </c>
      <c r="AX72" s="354"/>
      <c r="AY72" s="10"/>
      <c r="AZ72" s="66">
        <f t="shared" ref="AZ72" si="127">+BB72-BB71</f>
        <v>470540</v>
      </c>
      <c r="BA72" s="67"/>
      <c r="BB72" s="67">
        <v>13439114</v>
      </c>
      <c r="BC72" s="67"/>
      <c r="BD72" s="67">
        <f t="shared" ref="BD72" si="128">+D72</f>
        <v>28175</v>
      </c>
      <c r="BE72" s="67"/>
      <c r="BF72" s="157">
        <f t="shared" ref="BF72" si="129">+BD72/AZ72</f>
        <v>5.9878012496280872E-2</v>
      </c>
      <c r="BG72" s="67"/>
      <c r="BH72" s="185"/>
      <c r="BI72" s="67"/>
      <c r="BJ72" s="67"/>
      <c r="BK72" s="67"/>
      <c r="BL72" s="157"/>
      <c r="BM72" s="66">
        <f t="shared" ref="BM72" si="130">+BB72/BV72</f>
        <v>213319.26984126985</v>
      </c>
      <c r="BN72" s="67"/>
      <c r="BO72" s="67">
        <f t="shared" ref="BO72" si="131">+BO71+BD72</f>
        <v>1368576</v>
      </c>
      <c r="BP72" s="67"/>
      <c r="BQ72" s="74">
        <f t="shared" ref="BQ72" si="132">+BO72/BB72</f>
        <v>0.10183528467724881</v>
      </c>
      <c r="BR72" s="67"/>
      <c r="BS72" s="86"/>
      <c r="BT72" s="185"/>
      <c r="BU72" s="1"/>
      <c r="BV72">
        <f t="shared" si="11"/>
        <v>63</v>
      </c>
    </row>
    <row r="73" spans="2:74" x14ac:dyDescent="0.3">
      <c r="B73" s="173">
        <f t="shared" si="6"/>
        <v>43973</v>
      </c>
      <c r="C73" s="61"/>
      <c r="D73" s="17">
        <v>24002</v>
      </c>
      <c r="E73" s="16"/>
      <c r="F73" s="16"/>
      <c r="G73" s="16"/>
      <c r="H73" s="16">
        <f t="shared" ref="H73" si="133">+H72+D73</f>
        <v>1644900</v>
      </c>
      <c r="I73" s="16"/>
      <c r="J73" s="38">
        <f t="shared" ref="J73" si="134">+D73/H72</f>
        <v>1.480784108562044E-2</v>
      </c>
      <c r="K73" s="16"/>
      <c r="L73" s="16"/>
      <c r="M73" s="16"/>
      <c r="N73" s="16">
        <f t="shared" ref="N73" si="135">+H73/BV73</f>
        <v>25701.5625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ref="Z73" si="136">+Z72+V73</f>
        <v>97647</v>
      </c>
      <c r="AA73" s="33"/>
      <c r="AB73" s="46">
        <f t="shared" ref="AB73" si="137">+Z73/H73</f>
        <v>5.9363487142075504E-2</v>
      </c>
      <c r="AC73" s="33"/>
      <c r="AD73" s="33">
        <f t="shared" ref="AD73" si="138">+Z73/BV73</f>
        <v>1525.734375</v>
      </c>
      <c r="AE73" s="50"/>
      <c r="AF73" s="33"/>
      <c r="AG73" s="33"/>
      <c r="AH73" s="233"/>
      <c r="AI73" s="50"/>
      <c r="AJ73" s="10"/>
      <c r="AK73" s="23">
        <f t="shared" ref="AK73" si="139">+AO73-AO72</f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ref="AQ73" si="140">+AK73/AO72</f>
        <v>0.13456873791437821</v>
      </c>
      <c r="AR73" s="25"/>
      <c r="AS73" s="25"/>
      <c r="AT73" s="24"/>
      <c r="AU73" s="344">
        <f t="shared" ref="AU73" si="141">+AO73/H73</f>
        <v>0.26360082679798164</v>
      </c>
      <c r="AV73" s="344"/>
      <c r="AW73" s="24">
        <f t="shared" ref="AW73" si="142">+AO73/BV73</f>
        <v>6774.953125</v>
      </c>
      <c r="AX73" s="354"/>
      <c r="AY73" s="10"/>
      <c r="AZ73" s="66">
        <f t="shared" ref="AZ73" si="143">+BB73-BB72</f>
        <v>470791</v>
      </c>
      <c r="BA73" s="67"/>
      <c r="BB73" s="67">
        <v>13909905</v>
      </c>
      <c r="BC73" s="67"/>
      <c r="BD73" s="67">
        <f t="shared" ref="BD73" si="144">+D73</f>
        <v>24002</v>
      </c>
      <c r="BE73" s="67"/>
      <c r="BF73" s="157">
        <f t="shared" ref="BF73" si="145">+BD73/AZ73</f>
        <v>5.0982283008808582E-2</v>
      </c>
      <c r="BG73" s="67"/>
      <c r="BH73" s="185"/>
      <c r="BI73" s="67"/>
      <c r="BJ73" s="67"/>
      <c r="BK73" s="67"/>
      <c r="BL73" s="157"/>
      <c r="BM73" s="66">
        <f t="shared" ref="BM73" si="146">+BB73/BV73</f>
        <v>217342.265625</v>
      </c>
      <c r="BN73" s="67"/>
      <c r="BO73" s="67">
        <f t="shared" ref="BO73" si="147">+BO72+BD73</f>
        <v>1392578</v>
      </c>
      <c r="BP73" s="67"/>
      <c r="BQ73" s="74">
        <f t="shared" ref="BQ73" si="148">+BO73/BB73</f>
        <v>0.10011412730712395</v>
      </c>
      <c r="BR73" s="67"/>
      <c r="BS73" s="86"/>
      <c r="BT73" s="185"/>
      <c r="BU73" s="1"/>
      <c r="BV73">
        <f t="shared" si="11"/>
        <v>64</v>
      </c>
    </row>
    <row r="74" spans="2:74" x14ac:dyDescent="0.3">
      <c r="B74" s="479">
        <f t="shared" si="6"/>
        <v>43974</v>
      </c>
      <c r="C74" s="61"/>
      <c r="D74" s="17">
        <v>21928</v>
      </c>
      <c r="E74" s="16"/>
      <c r="F74" s="16"/>
      <c r="G74" s="16"/>
      <c r="H74" s="16">
        <f t="shared" ref="H74" si="149">+H73+D74</f>
        <v>1666828</v>
      </c>
      <c r="I74" s="16"/>
      <c r="J74" s="38">
        <f t="shared" ref="J74" si="150">+D74/H73</f>
        <v>1.3330901574563804E-2</v>
      </c>
      <c r="K74" s="16"/>
      <c r="L74" s="16"/>
      <c r="M74" s="16"/>
      <c r="N74" s="16">
        <f t="shared" ref="N74" si="151">+H74/BV74</f>
        <v>25643.507692307692</v>
      </c>
      <c r="O74" s="41"/>
      <c r="P74" s="17"/>
      <c r="Q74" s="16"/>
      <c r="R74" s="60"/>
      <c r="S74" s="16"/>
      <c r="T74" s="41"/>
      <c r="U74" s="481"/>
      <c r="V74" s="34">
        <v>1036</v>
      </c>
      <c r="W74" s="33"/>
      <c r="X74" s="33"/>
      <c r="Y74" s="33"/>
      <c r="Z74" s="33">
        <f t="shared" ref="Z74" si="152">+Z73+V74</f>
        <v>98683</v>
      </c>
      <c r="AA74" s="33"/>
      <c r="AB74" s="46">
        <f t="shared" ref="AB74" si="153">+Z74/H74</f>
        <v>5.9204069046116338E-2</v>
      </c>
      <c r="AC74" s="33"/>
      <c r="AD74" s="33">
        <f t="shared" ref="AD74" si="154">+Z74/BV74</f>
        <v>1518.2</v>
      </c>
      <c r="AE74" s="50"/>
      <c r="AF74" s="33"/>
      <c r="AG74" s="33"/>
      <c r="AH74" s="233"/>
      <c r="AI74" s="50"/>
      <c r="AJ74" s="10"/>
      <c r="AK74" s="23">
        <f t="shared" ref="AK74" si="155">+AO74-AO73</f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ref="AQ74" si="156">+AK74/AO73</f>
        <v>3.0712850873045709E-2</v>
      </c>
      <c r="AR74" s="25"/>
      <c r="AS74" s="25"/>
      <c r="AT74" s="24"/>
      <c r="AU74" s="344">
        <f t="shared" ref="AU74" si="157">+AO74/H74</f>
        <v>0.26812244574725169</v>
      </c>
      <c r="AV74" s="344"/>
      <c r="AW74" s="24">
        <f t="shared" ref="AW74" si="158">+AO74/BV74</f>
        <v>6875.6</v>
      </c>
      <c r="AX74" s="354"/>
      <c r="AY74" s="10"/>
      <c r="AZ74" s="66">
        <f t="shared" ref="AZ74" si="159">+BB74-BB73</f>
        <v>448064</v>
      </c>
      <c r="BA74" s="67"/>
      <c r="BB74" s="67">
        <v>14357969</v>
      </c>
      <c r="BC74" s="67"/>
      <c r="BD74" s="67">
        <f t="shared" ref="BD74" si="160">+D74</f>
        <v>21928</v>
      </c>
      <c r="BE74" s="67"/>
      <c r="BF74" s="157">
        <f t="shared" ref="BF74" si="161">+BD74/AZ74</f>
        <v>4.8939437223253821E-2</v>
      </c>
      <c r="BG74" s="67"/>
      <c r="BH74" s="185"/>
      <c r="BI74" s="67"/>
      <c r="BJ74" s="67"/>
      <c r="BK74" s="67"/>
      <c r="BL74" s="157"/>
      <c r="BM74" s="66">
        <f t="shared" ref="BM74" si="162">+BB74/BV74</f>
        <v>220891.83076923076</v>
      </c>
      <c r="BN74" s="67"/>
      <c r="BO74" s="67">
        <f t="shared" ref="BO74" si="163">+BO73+BD74</f>
        <v>1414506</v>
      </c>
      <c r="BP74" s="67"/>
      <c r="BQ74" s="74">
        <f t="shared" ref="BQ74" si="164">+BO74/BB74</f>
        <v>9.8517137068620225E-2</v>
      </c>
      <c r="BR74" s="67"/>
      <c r="BS74" s="86"/>
      <c r="BT74" s="185"/>
      <c r="BU74" s="1"/>
      <c r="BV74">
        <f t="shared" si="11"/>
        <v>65</v>
      </c>
    </row>
    <row r="75" spans="2:74" x14ac:dyDescent="0.3">
      <c r="B75" s="393">
        <f t="shared" si="6"/>
        <v>43975</v>
      </c>
      <c r="C75" s="61"/>
      <c r="D75" s="17">
        <v>19608</v>
      </c>
      <c r="E75" s="16"/>
      <c r="F75" s="16"/>
      <c r="G75" s="16"/>
      <c r="H75" s="16">
        <f t="shared" ref="H75" si="165">+H74+D75</f>
        <v>1686436</v>
      </c>
      <c r="I75" s="16"/>
      <c r="J75" s="38">
        <f t="shared" ref="J75" si="166">+D75/H74</f>
        <v>1.1763661277588329E-2</v>
      </c>
      <c r="K75" s="16"/>
      <c r="L75" s="16"/>
      <c r="M75" s="16"/>
      <c r="N75" s="16">
        <f t="shared" ref="N75" si="167">+H75/BV75</f>
        <v>25552.060606060608</v>
      </c>
      <c r="O75" s="41"/>
      <c r="P75" s="17">
        <f t="shared" ref="P75" si="168">SUM(D69:D75)</f>
        <v>158772</v>
      </c>
      <c r="Q75" s="16"/>
      <c r="R75" s="60">
        <f t="shared" ref="R75" si="169">+(P75-P68)/P68</f>
        <v>-7.8362266131753594E-3</v>
      </c>
      <c r="S75" s="16"/>
      <c r="T75" s="41"/>
      <c r="U75" s="394"/>
      <c r="V75" s="34">
        <v>617</v>
      </c>
      <c r="W75" s="33"/>
      <c r="X75" s="33"/>
      <c r="Y75" s="33"/>
      <c r="Z75" s="33">
        <f t="shared" ref="Z75" si="170">+Z74+V75</f>
        <v>99300</v>
      </c>
      <c r="AA75" s="33"/>
      <c r="AB75" s="46">
        <f t="shared" ref="AB75" si="171">+Z75/H75</f>
        <v>5.8881570364959002E-2</v>
      </c>
      <c r="AC75" s="33"/>
      <c r="AD75" s="33">
        <f t="shared" ref="AD75" si="172">+Z75/BV75</f>
        <v>1504.5454545454545</v>
      </c>
      <c r="AE75" s="50"/>
      <c r="AF75" s="33">
        <f t="shared" ref="AF75" si="173">SUM(V69:V75)</f>
        <v>8322</v>
      </c>
      <c r="AG75" s="33"/>
      <c r="AH75" s="233">
        <f t="shared" ref="AH75" si="174">+(AF75-AF68)/AF68</f>
        <v>-0.1833971151015602</v>
      </c>
      <c r="AI75" s="50"/>
      <c r="AJ75" s="394"/>
      <c r="AK75" s="23">
        <f t="shared" ref="AK75" si="175">+AO75-AO74</f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ref="AQ75" si="176">+AK75/AO74</f>
        <v>1.0713470600607723E-2</v>
      </c>
      <c r="AR75" s="25"/>
      <c r="AS75" s="25"/>
      <c r="AT75" s="24"/>
      <c r="AU75" s="344">
        <f t="shared" ref="AU75" si="177">+AO75/H75</f>
        <v>0.26784413994957412</v>
      </c>
      <c r="AV75" s="344"/>
      <c r="AW75" s="24">
        <f t="shared" ref="AW75" si="178">+AO75/BV75</f>
        <v>6843.969696969697</v>
      </c>
      <c r="AX75" s="354"/>
      <c r="AY75" s="394"/>
      <c r="AZ75" s="66">
        <f t="shared" ref="AZ75" si="179">+BB75-BB74</f>
        <v>391787</v>
      </c>
      <c r="BA75" s="67"/>
      <c r="BB75" s="67">
        <v>14749756</v>
      </c>
      <c r="BC75" s="67"/>
      <c r="BD75" s="67">
        <f t="shared" ref="BD75" si="180">+D75</f>
        <v>19608</v>
      </c>
      <c r="BE75" s="67"/>
      <c r="BF75" s="157">
        <f t="shared" ref="BF75" si="181">+BD75/AZ75</f>
        <v>5.0047602396199979E-2</v>
      </c>
      <c r="BG75" s="67"/>
      <c r="BH75" s="185"/>
      <c r="BI75" s="67"/>
      <c r="BJ75" s="67">
        <f t="shared" ref="BJ75" si="182">SUM(AZ69:AZ75)</f>
        <v>2874176</v>
      </c>
      <c r="BK75" s="67"/>
      <c r="BL75" s="157">
        <f t="shared" ref="BL75" si="183">+P75/BJ75</f>
        <v>5.5240875993676102E-2</v>
      </c>
      <c r="BM75" s="66">
        <f t="shared" ref="BM75" si="184">+BB75/BV75</f>
        <v>223481.15151515152</v>
      </c>
      <c r="BN75" s="67"/>
      <c r="BO75" s="67">
        <f t="shared" ref="BO75" si="185">+BO74+BD75</f>
        <v>1434114</v>
      </c>
      <c r="BP75" s="67"/>
      <c r="BQ75" s="74">
        <f t="shared" ref="BQ75" si="186">+BO75/BB75</f>
        <v>9.7229676206169111E-2</v>
      </c>
      <c r="BR75" s="67"/>
      <c r="BS75" s="86"/>
      <c r="BT75" s="185"/>
      <c r="BU75" s="1"/>
      <c r="BV75">
        <f t="shared" si="11"/>
        <v>66</v>
      </c>
    </row>
    <row r="76" spans="2:74" x14ac:dyDescent="0.3">
      <c r="B76" s="173">
        <f t="shared" si="6"/>
        <v>43976</v>
      </c>
      <c r="C76" s="61"/>
      <c r="D76" s="17">
        <v>19790</v>
      </c>
      <c r="E76" s="16"/>
      <c r="F76" s="16"/>
      <c r="G76" s="16"/>
      <c r="H76" s="16">
        <f t="shared" ref="H76" si="187">+H75+D76</f>
        <v>1706226</v>
      </c>
      <c r="I76" s="16"/>
      <c r="J76" s="38">
        <f t="shared" ref="J76" si="188">+D76/H75</f>
        <v>1.1734806420166553E-2</v>
      </c>
      <c r="K76" s="16"/>
      <c r="L76" s="16"/>
      <c r="M76" s="16"/>
      <c r="N76" s="16">
        <f t="shared" ref="N76" si="189">+H76/BV76</f>
        <v>25466.059701492537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ref="Z76" si="190">+Z75+V76</f>
        <v>99805</v>
      </c>
      <c r="AA76" s="33"/>
      <c r="AB76" s="46">
        <f t="shared" ref="AB76" si="191">+Z76/H76</f>
        <v>5.8494595674898869E-2</v>
      </c>
      <c r="AC76" s="33"/>
      <c r="AD76" s="33">
        <f t="shared" ref="AD76" si="192">+Z76/BV76</f>
        <v>1489.6268656716418</v>
      </c>
      <c r="AE76" s="50"/>
      <c r="AF76" s="33"/>
      <c r="AG76" s="33"/>
      <c r="AH76" s="233"/>
      <c r="AI76" s="50"/>
      <c r="AJ76" s="10"/>
      <c r="AK76" s="23">
        <f t="shared" ref="AK76" si="193">+AO76-AO75</f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ref="AQ76" si="194">+AK76/AO75</f>
        <v>2.8709193229164362E-2</v>
      </c>
      <c r="AR76" s="25"/>
      <c r="AS76" s="25"/>
      <c r="AT76" s="24"/>
      <c r="AU76" s="344">
        <f t="shared" ref="AU76" si="195">+AO76/H76</f>
        <v>0.27233789662096347</v>
      </c>
      <c r="AV76" s="344"/>
      <c r="AW76" s="24">
        <f t="shared" ref="AW76" si="196">+AO76/BV76</f>
        <v>6935.373134328358</v>
      </c>
      <c r="AX76" s="354"/>
      <c r="AY76" s="10"/>
      <c r="AZ76" s="66">
        <f t="shared" ref="AZ76" si="197">+BB76-BB75</f>
        <v>437891</v>
      </c>
      <c r="BA76" s="67"/>
      <c r="BB76" s="67">
        <v>15187647</v>
      </c>
      <c r="BC76" s="67"/>
      <c r="BD76" s="67">
        <f t="shared" ref="BD76" si="198">+D76</f>
        <v>19790</v>
      </c>
      <c r="BE76" s="67"/>
      <c r="BF76" s="157">
        <f t="shared" ref="BF76" si="199">+BD76/AZ76</f>
        <v>4.5193895284442932E-2</v>
      </c>
      <c r="BG76" s="67"/>
      <c r="BH76" s="185"/>
      <c r="BI76" s="67"/>
      <c r="BJ76" s="67"/>
      <c r="BK76" s="67"/>
      <c r="BL76" s="157"/>
      <c r="BM76" s="66">
        <f t="shared" ref="BM76" si="200">+BB76/BV76</f>
        <v>226681.29850746269</v>
      </c>
      <c r="BN76" s="67"/>
      <c r="BO76" s="67">
        <f t="shared" ref="BO76" si="201">+BO75+BD76</f>
        <v>1453904</v>
      </c>
      <c r="BP76" s="67"/>
      <c r="BQ76" s="74">
        <f t="shared" ref="BQ76" si="202">+BO76/BB76</f>
        <v>9.572937796091785E-2</v>
      </c>
      <c r="BR76" s="67"/>
      <c r="BS76" s="86"/>
      <c r="BT76" s="185"/>
      <c r="BU76" s="1"/>
      <c r="BV76">
        <f t="shared" si="11"/>
        <v>67</v>
      </c>
    </row>
    <row r="77" spans="2:74" x14ac:dyDescent="0.3">
      <c r="B77" s="173">
        <f t="shared" ref="B77:B92" si="203">1+B76</f>
        <v>43977</v>
      </c>
      <c r="C77" s="61"/>
      <c r="D77" s="17">
        <v>19031</v>
      </c>
      <c r="E77" s="16"/>
      <c r="F77" s="16"/>
      <c r="G77" s="16"/>
      <c r="H77" s="16">
        <f t="shared" ref="H77" si="204">+H76+D77</f>
        <v>1725257</v>
      </c>
      <c r="I77" s="16"/>
      <c r="J77" s="38">
        <f t="shared" ref="J77" si="205">+D77/H76</f>
        <v>1.1153856523110069E-2</v>
      </c>
      <c r="K77" s="16"/>
      <c r="L77" s="16"/>
      <c r="M77" s="16"/>
      <c r="N77" s="16">
        <f t="shared" ref="N77" si="206">+H77/BV77</f>
        <v>25371.426470588234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ref="Z77" si="207">+Z76+V77</f>
        <v>100579</v>
      </c>
      <c r="AA77" s="33"/>
      <c r="AB77" s="46">
        <f t="shared" ref="AB77" si="208">+Z77/H77</f>
        <v>5.8297981112379202E-2</v>
      </c>
      <c r="AC77" s="33"/>
      <c r="AD77" s="33">
        <f t="shared" ref="AD77" si="209">+Z77/BV77</f>
        <v>1479.1029411764705</v>
      </c>
      <c r="AE77" s="50"/>
      <c r="AF77" s="33"/>
      <c r="AG77" s="33"/>
      <c r="AH77" s="233"/>
      <c r="AI77" s="50"/>
      <c r="AJ77" s="10"/>
      <c r="AK77" s="23">
        <f t="shared" ref="AK77" si="210">+AO77-AO76</f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ref="AQ77" si="211">+AK77/AO76</f>
        <v>3.2924441001140593E-2</v>
      </c>
      <c r="AR77" s="25"/>
      <c r="AS77" s="25"/>
      <c r="AT77" s="24"/>
      <c r="AU77" s="344">
        <f t="shared" ref="AU77" si="212">+AO77/H77</f>
        <v>0.27820145056649531</v>
      </c>
      <c r="AV77" s="344"/>
      <c r="AW77" s="24">
        <f t="shared" ref="AW77" si="213">+AO77/BV77</f>
        <v>7058.3676470588234</v>
      </c>
      <c r="AX77" s="354"/>
      <c r="AY77" s="10"/>
      <c r="AZ77" s="66">
        <f t="shared" ref="AZ77" si="214">+BB77-BB76</f>
        <v>344512</v>
      </c>
      <c r="BA77" s="67"/>
      <c r="BB77" s="67">
        <v>15532159</v>
      </c>
      <c r="BC77" s="67"/>
      <c r="BD77" s="67">
        <f t="shared" ref="BD77" si="215">+D77</f>
        <v>19031</v>
      </c>
      <c r="BE77" s="67"/>
      <c r="BF77" s="157">
        <f t="shared" ref="BF77" si="216">+BD77/AZ77</f>
        <v>5.5240456065391047E-2</v>
      </c>
      <c r="BG77" s="67"/>
      <c r="BH77" s="185"/>
      <c r="BI77" s="67"/>
      <c r="BJ77" s="67"/>
      <c r="BK77" s="67"/>
      <c r="BL77" s="157"/>
      <c r="BM77" s="66">
        <f t="shared" ref="BM77" si="217">+BB77/BV77</f>
        <v>228414.10294117648</v>
      </c>
      <c r="BN77" s="67"/>
      <c r="BO77" s="67">
        <f t="shared" ref="BO77" si="218">+BO76+BD77</f>
        <v>1472935</v>
      </c>
      <c r="BP77" s="67"/>
      <c r="BQ77" s="74">
        <f t="shared" ref="BQ77" si="219">+BO77/BB77</f>
        <v>9.4831310959410081E-2</v>
      </c>
      <c r="BR77" s="67"/>
      <c r="BS77" s="86"/>
      <c r="BT77" s="185"/>
      <c r="BU77" s="1"/>
      <c r="BV77">
        <f t="shared" ref="BV77:BV92" si="220">+BV76+1</f>
        <v>68</v>
      </c>
    </row>
    <row r="78" spans="2:74" x14ac:dyDescent="0.3">
      <c r="B78" s="173">
        <f t="shared" si="203"/>
        <v>43978</v>
      </c>
      <c r="C78" s="61"/>
      <c r="D78" s="17">
        <v>20546</v>
      </c>
      <c r="E78" s="16"/>
      <c r="F78" s="16"/>
      <c r="G78" s="16"/>
      <c r="H78" s="16">
        <f t="shared" ref="H78" si="221">+H77+D78</f>
        <v>1745803</v>
      </c>
      <c r="I78" s="16"/>
      <c r="J78" s="38">
        <f t="shared" ref="J78" si="222">+D78/H77</f>
        <v>1.1908950376668519E-2</v>
      </c>
      <c r="K78" s="16"/>
      <c r="L78" s="16"/>
      <c r="M78" s="16"/>
      <c r="N78" s="16">
        <f t="shared" ref="N78" si="223">+H78/BV78</f>
        <v>25301.492753623188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ref="Z78" si="224">+Z77+V78</f>
        <v>102107</v>
      </c>
      <c r="AA78" s="33"/>
      <c r="AB78" s="46">
        <f t="shared" ref="AB78" si="225">+Z78/H78</f>
        <v>5.8487125981568369E-2</v>
      </c>
      <c r="AC78" s="33"/>
      <c r="AD78" s="33">
        <f t="shared" ref="AD78" si="226">+Z78/BV78</f>
        <v>1479.8115942028985</v>
      </c>
      <c r="AE78" s="50"/>
      <c r="AF78" s="33"/>
      <c r="AG78" s="33"/>
      <c r="AH78" s="233"/>
      <c r="AI78" s="50"/>
      <c r="AJ78" s="10"/>
      <c r="AK78" s="23">
        <f t="shared" ref="AK78" si="227">+AO78-AO77</f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ref="AQ78" si="228">+AK78/AO77</f>
        <v>2.1170117236738208E-2</v>
      </c>
      <c r="AR78" s="25"/>
      <c r="AS78" s="25"/>
      <c r="AT78" s="24"/>
      <c r="AU78" s="344">
        <f t="shared" ref="AU78" si="229">+AO78/H78</f>
        <v>0.28074759866949478</v>
      </c>
      <c r="AV78" s="344"/>
      <c r="AW78" s="24">
        <f t="shared" ref="AW78" si="230">+AO78/BV78</f>
        <v>7103.333333333333</v>
      </c>
      <c r="AX78" s="354"/>
      <c r="AY78" s="10"/>
      <c r="AZ78" s="66">
        <f t="shared" ref="AZ78" si="231">+BB78-BB77</f>
        <v>343314</v>
      </c>
      <c r="BA78" s="67"/>
      <c r="BB78" s="67">
        <v>15875473</v>
      </c>
      <c r="BC78" s="67"/>
      <c r="BD78" s="67">
        <f t="shared" ref="BD78" si="232">+D78</f>
        <v>20546</v>
      </c>
      <c r="BE78" s="67"/>
      <c r="BF78" s="157">
        <f t="shared" ref="BF78" si="233">+BD78/AZ78</f>
        <v>5.9846088420512998E-2</v>
      </c>
      <c r="BG78" s="67"/>
      <c r="BH78" s="185"/>
      <c r="BI78" s="67"/>
      <c r="BJ78" s="67"/>
      <c r="BK78" s="67"/>
      <c r="BL78" s="157"/>
      <c r="BM78" s="66">
        <f t="shared" ref="BM78" si="234">+BB78/BV78</f>
        <v>230079.31884057971</v>
      </c>
      <c r="BN78" s="67"/>
      <c r="BO78" s="67">
        <f t="shared" ref="BO78" si="235">+BO77+BD78</f>
        <v>1493481</v>
      </c>
      <c r="BP78" s="67"/>
      <c r="BQ78" s="74">
        <f t="shared" ref="BQ78" si="236">+BO78/BB78</f>
        <v>9.4074740324272543E-2</v>
      </c>
      <c r="BR78" s="67"/>
      <c r="BS78" s="86"/>
      <c r="BT78" s="185"/>
      <c r="BU78" s="1"/>
      <c r="BV78">
        <f t="shared" si="220"/>
        <v>69</v>
      </c>
    </row>
    <row r="79" spans="2:74" x14ac:dyDescent="0.3">
      <c r="B79" s="173">
        <f t="shared" si="203"/>
        <v>43979</v>
      </c>
      <c r="C79" s="61"/>
      <c r="D79" s="17">
        <v>22658</v>
      </c>
      <c r="E79" s="16"/>
      <c r="F79" s="16"/>
      <c r="G79" s="16"/>
      <c r="H79" s="16">
        <f t="shared" ref="H79:H80" si="237">+H78+D79</f>
        <v>1768461</v>
      </c>
      <c r="I79" s="16"/>
      <c r="J79" s="38">
        <f t="shared" ref="J79:J80" si="238">+D79/H78</f>
        <v>1.2978554854127298E-2</v>
      </c>
      <c r="K79" s="16"/>
      <c r="L79" s="16"/>
      <c r="M79" s="16"/>
      <c r="N79" s="16">
        <f t="shared" ref="N79:N80" si="239">+H79/BV79</f>
        <v>25263.728571428572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ref="Z79" si="240">+Z78+V79</f>
        <v>103330</v>
      </c>
      <c r="AA79" s="33"/>
      <c r="AB79" s="46">
        <f t="shared" ref="AB79" si="241">+Z79/H79</f>
        <v>5.8429334884964948E-2</v>
      </c>
      <c r="AC79" s="33"/>
      <c r="AD79" s="33">
        <f t="shared" ref="AD79" si="242">+Z79/BV79</f>
        <v>1476.1428571428571</v>
      </c>
      <c r="AE79" s="50"/>
      <c r="AF79" s="33"/>
      <c r="AG79" s="33"/>
      <c r="AH79" s="233"/>
      <c r="AI79" s="50"/>
      <c r="AJ79" s="10"/>
      <c r="AK79" s="23">
        <f t="shared" ref="AK79" si="243">+AO79-AO78</f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ref="AQ79" si="244">+AK79/AO78</f>
        <v>1.7536163874890334E-2</v>
      </c>
      <c r="AR79" s="25"/>
      <c r="AS79" s="25"/>
      <c r="AT79" s="24"/>
      <c r="AU79" s="344">
        <f t="shared" ref="AU79" si="245">+AO79/H79</f>
        <v>0.28201074267399734</v>
      </c>
      <c r="AV79" s="344"/>
      <c r="AW79" s="24">
        <f t="shared" ref="AW79" si="246">+AO79/BV79</f>
        <v>7124.6428571428569</v>
      </c>
      <c r="AX79" s="354"/>
      <c r="AY79" s="10"/>
      <c r="AZ79" s="66">
        <f t="shared" ref="AZ79" si="247">+BB79-BB78</f>
        <v>455839</v>
      </c>
      <c r="BA79" s="67"/>
      <c r="BB79" s="67">
        <v>16331312</v>
      </c>
      <c r="BC79" s="67"/>
      <c r="BD79" s="67">
        <f t="shared" ref="BD79" si="248">+D79</f>
        <v>22658</v>
      </c>
      <c r="BE79" s="67"/>
      <c r="BF79" s="157">
        <f t="shared" ref="BF79" si="249">+BD79/AZ79</f>
        <v>4.9706146249004581E-2</v>
      </c>
      <c r="BG79" s="67"/>
      <c r="BH79" s="185"/>
      <c r="BI79" s="67"/>
      <c r="BJ79" s="67"/>
      <c r="BK79" s="67"/>
      <c r="BL79" s="157"/>
      <c r="BM79" s="66">
        <f t="shared" ref="BM79" si="250">+BB79/BV79</f>
        <v>233304.45714285714</v>
      </c>
      <c r="BN79" s="67"/>
      <c r="BO79" s="67">
        <f t="shared" ref="BO79" si="251">+BO78+BD79</f>
        <v>1516139</v>
      </c>
      <c r="BP79" s="67"/>
      <c r="BQ79" s="74">
        <f t="shared" ref="BQ79" si="252">+BO79/BB79</f>
        <v>9.2836325703654424E-2</v>
      </c>
      <c r="BR79" s="67"/>
      <c r="BS79" s="86"/>
      <c r="BT79" s="185"/>
      <c r="BU79" s="1"/>
      <c r="BV79">
        <f t="shared" si="220"/>
        <v>70</v>
      </c>
    </row>
    <row r="80" spans="2:74" x14ac:dyDescent="0.3">
      <c r="B80" s="173">
        <f t="shared" si="203"/>
        <v>43980</v>
      </c>
      <c r="C80" s="61"/>
      <c r="D80" s="17">
        <v>25069</v>
      </c>
      <c r="E80" s="16"/>
      <c r="F80" s="16"/>
      <c r="G80" s="16"/>
      <c r="H80" s="16">
        <f t="shared" si="237"/>
        <v>1793530</v>
      </c>
      <c r="I80" s="16"/>
      <c r="J80" s="38">
        <f t="shared" si="238"/>
        <v>1.4175602402314781E-2</v>
      </c>
      <c r="K80" s="16"/>
      <c r="L80" s="16"/>
      <c r="M80" s="16"/>
      <c r="N80" s="16">
        <f t="shared" si="239"/>
        <v>25260.985915492958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ref="Z80" si="253">+Z79+V80</f>
        <v>104542</v>
      </c>
      <c r="AA80" s="33"/>
      <c r="AB80" s="46">
        <f t="shared" ref="AB80" si="254">+Z80/H80</f>
        <v>5.8288403316364937E-2</v>
      </c>
      <c r="AC80" s="33"/>
      <c r="AD80" s="33">
        <f t="shared" ref="AD80" si="255">+Z80/BV80</f>
        <v>1472.4225352112676</v>
      </c>
      <c r="AE80" s="50"/>
      <c r="AF80" s="33"/>
      <c r="AG80" s="33"/>
      <c r="AH80" s="233"/>
      <c r="AI80" s="50"/>
      <c r="AJ80" s="10"/>
      <c r="AK80" s="23">
        <f t="shared" ref="AK80" si="256">+AO80-AO79</f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ref="AQ80" si="257">+AK80/AO79</f>
        <v>4.1794576169231538E-2</v>
      </c>
      <c r="AR80" s="25"/>
      <c r="AS80" s="25"/>
      <c r="AT80" s="24"/>
      <c r="AU80" s="344">
        <f t="shared" ref="AU80" si="258">+AO80/H80</f>
        <v>0.28969072164948456</v>
      </c>
      <c r="AV80" s="344"/>
      <c r="AW80" s="24">
        <f t="shared" ref="AW80" si="259">+AO80/BV80</f>
        <v>7317.8732394366198</v>
      </c>
      <c r="AX80" s="354"/>
      <c r="AY80" s="10"/>
      <c r="AZ80" s="66">
        <f t="shared" ref="AZ80" si="260">+BB80-BB79</f>
        <v>479466</v>
      </c>
      <c r="BA80" s="67"/>
      <c r="BB80" s="67">
        <v>16810778</v>
      </c>
      <c r="BC80" s="67"/>
      <c r="BD80" s="67">
        <f t="shared" ref="BD80" si="261">+D80</f>
        <v>25069</v>
      </c>
      <c r="BE80" s="67"/>
      <c r="BF80" s="157">
        <f t="shared" ref="BF80" si="262">+BD80/AZ80</f>
        <v>5.2285250674708947E-2</v>
      </c>
      <c r="BG80" s="67"/>
      <c r="BH80" s="185"/>
      <c r="BI80" s="67"/>
      <c r="BJ80" s="67"/>
      <c r="BK80" s="67"/>
      <c r="BL80" s="157"/>
      <c r="BM80" s="66">
        <f t="shared" ref="BM80" si="263">+BB80/BV80</f>
        <v>236771.52112676058</v>
      </c>
      <c r="BN80" s="67"/>
      <c r="BO80" s="67">
        <f t="shared" ref="BO80" si="264">+BO79+BD80</f>
        <v>1541208</v>
      </c>
      <c r="BP80" s="67"/>
      <c r="BQ80" s="74">
        <f t="shared" ref="BQ80" si="265">+BO80/BB80</f>
        <v>9.1679754500356855E-2</v>
      </c>
      <c r="BR80" s="67"/>
      <c r="BS80" s="86"/>
      <c r="BT80" s="185"/>
      <c r="BU80" s="1"/>
      <c r="BV80">
        <f t="shared" si="220"/>
        <v>71</v>
      </c>
    </row>
    <row r="81" spans="2:84" x14ac:dyDescent="0.3">
      <c r="B81" s="479">
        <f t="shared" si="203"/>
        <v>43981</v>
      </c>
      <c r="C81" s="61"/>
      <c r="D81" s="17">
        <v>23290</v>
      </c>
      <c r="E81" s="16"/>
      <c r="F81" s="16"/>
      <c r="G81" s="16"/>
      <c r="H81" s="16">
        <f t="shared" ref="H81" si="266">+H80+D81</f>
        <v>1816820</v>
      </c>
      <c r="I81" s="16"/>
      <c r="J81" s="38">
        <f t="shared" ref="J81" si="267">+D81/H80</f>
        <v>1.2985564780070588E-2</v>
      </c>
      <c r="K81" s="16"/>
      <c r="L81" s="16"/>
      <c r="M81" s="16"/>
      <c r="N81" s="16">
        <f t="shared" ref="N81" si="268">+H81/BV81</f>
        <v>25233.611111111109</v>
      </c>
      <c r="O81" s="41"/>
      <c r="P81" s="17"/>
      <c r="Q81" s="16"/>
      <c r="R81" s="60"/>
      <c r="S81" s="16"/>
      <c r="T81" s="41"/>
      <c r="U81" s="481"/>
      <c r="V81" s="34">
        <v>1015</v>
      </c>
      <c r="W81" s="33"/>
      <c r="X81" s="33"/>
      <c r="Y81" s="33"/>
      <c r="Z81" s="33">
        <f t="shared" ref="Z81" si="269">+Z80+V81</f>
        <v>105557</v>
      </c>
      <c r="AA81" s="33"/>
      <c r="AB81" s="46">
        <f t="shared" ref="AB81" si="270">+Z81/H81</f>
        <v>5.8099866800233373E-2</v>
      </c>
      <c r="AC81" s="33"/>
      <c r="AD81" s="33">
        <f t="shared" ref="AD81" si="271">+Z81/BV81</f>
        <v>1466.0694444444443</v>
      </c>
      <c r="AE81" s="50"/>
      <c r="AF81" s="33"/>
      <c r="AG81" s="33"/>
      <c r="AH81" s="233"/>
      <c r="AI81" s="50"/>
      <c r="AJ81" s="10"/>
      <c r="AK81" s="23">
        <f t="shared" ref="AK81" si="272">+AO81-AO80</f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ref="AQ81" si="273">+AK81/AO80</f>
        <v>3.0157688391724679E-2</v>
      </c>
      <c r="AR81" s="25"/>
      <c r="AS81" s="25"/>
      <c r="AT81" s="24"/>
      <c r="AU81" s="344">
        <f t="shared" ref="AU81" si="274">+AO81/H81</f>
        <v>0.29460155656586784</v>
      </c>
      <c r="AV81" s="344"/>
      <c r="AW81" s="24">
        <f t="shared" ref="AW81" si="275">+AO81/BV81</f>
        <v>7433.8611111111113</v>
      </c>
      <c r="AX81" s="354"/>
      <c r="AY81" s="10"/>
      <c r="AZ81" s="66">
        <f t="shared" ref="AZ81" si="276">+BB81-BB80</f>
        <v>460063</v>
      </c>
      <c r="BA81" s="67"/>
      <c r="BB81" s="67">
        <v>17270841</v>
      </c>
      <c r="BC81" s="67"/>
      <c r="BD81" s="67">
        <f t="shared" ref="BD81" si="277">+D81</f>
        <v>23290</v>
      </c>
      <c r="BE81" s="67"/>
      <c r="BF81" s="157">
        <f t="shared" ref="BF81" si="278">+BD81/AZ81</f>
        <v>5.0623501563916248E-2</v>
      </c>
      <c r="BG81" s="67"/>
      <c r="BH81" s="185"/>
      <c r="BI81" s="67"/>
      <c r="BJ81" s="67"/>
      <c r="BK81" s="67"/>
      <c r="BL81" s="157"/>
      <c r="BM81" s="66">
        <f t="shared" ref="BM81" si="279">+BB81/BV81</f>
        <v>239872.79166666666</v>
      </c>
      <c r="BN81" s="67"/>
      <c r="BO81" s="67">
        <f t="shared" ref="BO81" si="280">+BO80+BD81</f>
        <v>1564498</v>
      </c>
      <c r="BP81" s="67"/>
      <c r="BQ81" s="74">
        <f t="shared" ref="BQ81" si="281">+BO81/BB81</f>
        <v>9.0586092478067509E-2</v>
      </c>
      <c r="BR81" s="67"/>
      <c r="BS81" s="86"/>
      <c r="BT81" s="185"/>
      <c r="BU81" s="1"/>
      <c r="BV81">
        <f t="shared" si="220"/>
        <v>72</v>
      </c>
    </row>
    <row r="82" spans="2:84" x14ac:dyDescent="0.3">
      <c r="B82" s="393">
        <f t="shared" si="203"/>
        <v>43982</v>
      </c>
      <c r="C82" s="61"/>
      <c r="D82" s="17">
        <v>20350</v>
      </c>
      <c r="E82" s="16"/>
      <c r="F82" s="16"/>
      <c r="G82" s="16"/>
      <c r="H82" s="16">
        <f t="shared" ref="H82" si="282">+H81+D82</f>
        <v>1837170</v>
      </c>
      <c r="I82" s="16"/>
      <c r="J82" s="38">
        <f t="shared" ref="J82" si="283">+D82/H81</f>
        <v>1.1200889466210191E-2</v>
      </c>
      <c r="K82" s="16"/>
      <c r="L82" s="16"/>
      <c r="M82" s="16"/>
      <c r="N82" s="16">
        <f t="shared" ref="N82" si="284">+H82/BV82</f>
        <v>25166.712328767124</v>
      </c>
      <c r="O82" s="41"/>
      <c r="P82" s="17">
        <f t="shared" ref="P82" si="285">SUM(D76:D82)</f>
        <v>150734</v>
      </c>
      <c r="Q82" s="16"/>
      <c r="R82" s="60">
        <f t="shared" ref="R82" si="286">+(P82-P75)/P75</f>
        <v>-5.0626054971909404E-2</v>
      </c>
      <c r="S82" s="16"/>
      <c r="T82" s="41"/>
      <c r="U82" s="394"/>
      <c r="V82" s="34">
        <v>638</v>
      </c>
      <c r="W82" s="33"/>
      <c r="X82" s="33"/>
      <c r="Y82" s="33"/>
      <c r="Z82" s="33">
        <f t="shared" ref="Z82" si="287">+Z81+V82</f>
        <v>106195</v>
      </c>
      <c r="AA82" s="33"/>
      <c r="AB82" s="46">
        <f t="shared" ref="AB82" si="288">+Z82/H82</f>
        <v>5.7803578329713633E-2</v>
      </c>
      <c r="AC82" s="33"/>
      <c r="AD82" s="33">
        <f t="shared" ref="AD82" si="289">+Z82/BV82</f>
        <v>1454.7260273972602</v>
      </c>
      <c r="AE82" s="50"/>
      <c r="AF82" s="33">
        <f t="shared" ref="AF82" si="290">SUM(V76:V82)</f>
        <v>6895</v>
      </c>
      <c r="AG82" s="33"/>
      <c r="AH82" s="233">
        <f t="shared" ref="AH82" si="291">+(AF82-AF75)/AF75</f>
        <v>-0.17147320355683729</v>
      </c>
      <c r="AI82" s="50"/>
      <c r="AJ82" s="394"/>
      <c r="AK82" s="23">
        <f t="shared" ref="AK82" si="292">+AO82-AO81</f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ref="AQ82" si="293">+AK82/AO81</f>
        <v>0.12074815315803437</v>
      </c>
      <c r="AR82" s="25"/>
      <c r="AS82" s="25"/>
      <c r="AT82" s="24"/>
      <c r="AU82" s="344">
        <f t="shared" ref="AU82" si="294">+AO82/H82</f>
        <v>0.32651687105711502</v>
      </c>
      <c r="AV82" s="344"/>
      <c r="AW82" s="24">
        <f t="shared" ref="AW82" si="295">+AO82/BV82</f>
        <v>8217.3561643835619</v>
      </c>
      <c r="AX82" s="354"/>
      <c r="AY82" s="394"/>
      <c r="AZ82" s="66">
        <f t="shared" ref="AZ82" si="296">+BB82-BB81</f>
        <v>401726</v>
      </c>
      <c r="BA82" s="67"/>
      <c r="BB82" s="67">
        <v>17672567</v>
      </c>
      <c r="BC82" s="67"/>
      <c r="BD82" s="67">
        <f t="shared" ref="BD82" si="297">+D82</f>
        <v>20350</v>
      </c>
      <c r="BE82" s="67"/>
      <c r="BF82" s="157">
        <f t="shared" ref="BF82" si="298">+BD82/AZ82</f>
        <v>5.0656417558236209E-2</v>
      </c>
      <c r="BG82" s="67"/>
      <c r="BH82" s="185"/>
      <c r="BI82" s="67"/>
      <c r="BJ82" s="67">
        <f t="shared" ref="BJ82" si="299">SUM(AZ76:AZ82)</f>
        <v>2922811</v>
      </c>
      <c r="BK82" s="67"/>
      <c r="BL82" s="157">
        <f t="shared" ref="BL82" si="300">+P82/BJ82</f>
        <v>5.1571586394056956E-2</v>
      </c>
      <c r="BM82" s="66">
        <f t="shared" ref="BM82" si="301">+BB82/BV82</f>
        <v>242089.95890410958</v>
      </c>
      <c r="BN82" s="67"/>
      <c r="BO82" s="67">
        <f t="shared" ref="BO82" si="302">+BO81+BD82</f>
        <v>1584848</v>
      </c>
      <c r="BP82" s="67"/>
      <c r="BQ82" s="74">
        <f t="shared" ref="BQ82" si="303">+BO82/BB82</f>
        <v>8.9678426456100011E-2</v>
      </c>
      <c r="BR82" s="67"/>
      <c r="BS82" s="86"/>
      <c r="BT82" s="185"/>
      <c r="BU82" s="1"/>
      <c r="BV82">
        <f t="shared" si="220"/>
        <v>73</v>
      </c>
    </row>
    <row r="83" spans="2:84" x14ac:dyDescent="0.3">
      <c r="B83" s="173">
        <f t="shared" si="203"/>
        <v>43983</v>
      </c>
      <c r="C83" s="61"/>
      <c r="D83" s="17">
        <v>22153</v>
      </c>
      <c r="E83" s="16"/>
      <c r="F83" s="16"/>
      <c r="G83" s="16"/>
      <c r="H83" s="16">
        <f t="shared" ref="H83" si="304">+H82+D83</f>
        <v>1859323</v>
      </c>
      <c r="I83" s="16"/>
      <c r="J83" s="38">
        <f t="shared" ref="J83" si="305">+D83/H82</f>
        <v>1.2058219979642602E-2</v>
      </c>
      <c r="K83" s="16"/>
      <c r="L83" s="16"/>
      <c r="M83" s="16"/>
      <c r="N83" s="16">
        <f t="shared" ref="N83" si="306">+H83/BV83</f>
        <v>25125.986486486487</v>
      </c>
      <c r="O83" s="41"/>
      <c r="P83" s="17"/>
      <c r="Q83" s="16"/>
      <c r="R83" s="60"/>
      <c r="S83" s="16"/>
      <c r="T83" s="41"/>
      <c r="U83" s="10"/>
      <c r="V83" s="34">
        <v>730</v>
      </c>
      <c r="W83" s="33"/>
      <c r="X83" s="33"/>
      <c r="Y83" s="33"/>
      <c r="Z83" s="33">
        <f t="shared" ref="Z83" si="307">+Z82+V83</f>
        <v>106925</v>
      </c>
      <c r="AA83" s="33"/>
      <c r="AB83" s="46">
        <f t="shared" ref="AB83" si="308">+Z83/H83</f>
        <v>5.7507490629653914E-2</v>
      </c>
      <c r="AC83" s="33"/>
      <c r="AD83" s="33">
        <f t="shared" ref="AD83" si="309">+Z83/BV83</f>
        <v>1444.9324324324325</v>
      </c>
      <c r="AE83" s="50"/>
      <c r="AF83" s="33"/>
      <c r="AG83" s="33"/>
      <c r="AH83" s="233"/>
      <c r="AI83" s="50"/>
      <c r="AJ83" s="10"/>
      <c r="AK83" s="23">
        <f t="shared" ref="AK83" si="310">+AO83-AO82</f>
        <v>15461</v>
      </c>
      <c r="AL83" s="24"/>
      <c r="AM83" s="24"/>
      <c r="AN83" s="24">
        <v>178263</v>
      </c>
      <c r="AO83" s="24">
        <v>615328</v>
      </c>
      <c r="AP83" s="24"/>
      <c r="AQ83" s="25">
        <f t="shared" ref="AQ83" si="311">+AK83/AO82</f>
        <v>2.5774046580325307E-2</v>
      </c>
      <c r="AR83" s="25"/>
      <c r="AS83" s="25"/>
      <c r="AT83" s="24"/>
      <c r="AU83" s="344">
        <f t="shared" ref="AU83" si="312">+AO83/H83</f>
        <v>0.33094196113316515</v>
      </c>
      <c r="AV83" s="344"/>
      <c r="AW83" s="24">
        <f t="shared" ref="AW83" si="313">+AO83/BV83</f>
        <v>8315.2432432432433</v>
      </c>
      <c r="AX83" s="354"/>
      <c r="AY83" s="10"/>
      <c r="AZ83" s="66">
        <f t="shared" ref="AZ83" si="314">+BB83-BB82</f>
        <v>477486</v>
      </c>
      <c r="BA83" s="67"/>
      <c r="BB83" s="67">
        <v>18150053</v>
      </c>
      <c r="BC83" s="67"/>
      <c r="BD83" s="67">
        <f t="shared" ref="BD83" si="315">+D83</f>
        <v>22153</v>
      </c>
      <c r="BE83" s="67"/>
      <c r="BF83" s="157">
        <f t="shared" ref="BF83" si="316">+BD83/AZ83</f>
        <v>4.6395077552011998E-2</v>
      </c>
      <c r="BG83" s="67"/>
      <c r="BH83" s="185"/>
      <c r="BI83" s="67"/>
      <c r="BJ83" s="67"/>
      <c r="BK83" s="67"/>
      <c r="BL83" s="157"/>
      <c r="BM83" s="66">
        <f t="shared" ref="BM83" si="317">+BB83/BV83</f>
        <v>245270.98648648648</v>
      </c>
      <c r="BN83" s="67"/>
      <c r="BO83" s="67">
        <f t="shared" ref="BO83" si="318">+BO82+BD83</f>
        <v>1607001</v>
      </c>
      <c r="BP83" s="67"/>
      <c r="BQ83" s="74">
        <f t="shared" ref="BQ83" si="319">+BO83/BB83</f>
        <v>8.8539741454198503E-2</v>
      </c>
      <c r="BR83" s="67"/>
      <c r="BS83" s="86"/>
      <c r="BT83" s="185"/>
      <c r="BU83" s="1"/>
      <c r="BV83">
        <f t="shared" si="220"/>
        <v>74</v>
      </c>
    </row>
    <row r="84" spans="2:84" x14ac:dyDescent="0.3">
      <c r="B84" s="173">
        <f t="shared" si="203"/>
        <v>43984</v>
      </c>
      <c r="C84" s="61"/>
      <c r="D84" s="17">
        <v>21882</v>
      </c>
      <c r="E84" s="16"/>
      <c r="F84" s="16"/>
      <c r="G84" s="16"/>
      <c r="H84" s="16">
        <f t="shared" ref="H84" si="320">+H83+D84</f>
        <v>1881205</v>
      </c>
      <c r="I84" s="16"/>
      <c r="J84" s="38">
        <f t="shared" ref="J84" si="321">+D84/H83</f>
        <v>1.176879971903752E-2</v>
      </c>
      <c r="K84" s="16"/>
      <c r="L84" s="16"/>
      <c r="M84" s="16"/>
      <c r="N84" s="16">
        <f t="shared" ref="N84" si="322">+H84/BV84</f>
        <v>25082.733333333334</v>
      </c>
      <c r="O84" s="41"/>
      <c r="P84" s="17"/>
      <c r="Q84" s="16"/>
      <c r="R84" s="60"/>
      <c r="S84" s="16"/>
      <c r="T84" s="41"/>
      <c r="U84" s="10"/>
      <c r="V84" s="34">
        <v>1134</v>
      </c>
      <c r="W84" s="33"/>
      <c r="X84" s="33"/>
      <c r="Y84" s="33"/>
      <c r="Z84" s="33">
        <f t="shared" ref="Z84" si="323">+Z83+V84</f>
        <v>108059</v>
      </c>
      <c r="AA84" s="33"/>
      <c r="AB84" s="46">
        <f t="shared" ref="AB84" si="324">+Z84/H84</f>
        <v>5.74413740129332E-2</v>
      </c>
      <c r="AC84" s="33"/>
      <c r="AD84" s="33">
        <f t="shared" ref="AD84" si="325">+Z84/BV84</f>
        <v>1440.7866666666666</v>
      </c>
      <c r="AE84" s="50"/>
      <c r="AF84" s="33"/>
      <c r="AG84" s="33"/>
      <c r="AH84" s="233"/>
      <c r="AI84" s="50"/>
      <c r="AJ84" s="10"/>
      <c r="AK84" s="23">
        <f t="shared" ref="AK84" si="326">+AO84-AO83</f>
        <v>30348</v>
      </c>
      <c r="AL84" s="24"/>
      <c r="AM84" s="24"/>
      <c r="AN84" s="24">
        <v>178263</v>
      </c>
      <c r="AO84" s="24">
        <v>645676</v>
      </c>
      <c r="AP84" s="24"/>
      <c r="AQ84" s="25">
        <f t="shared" ref="AQ84" si="327">+AK84/AO83</f>
        <v>4.9320037443444799E-2</v>
      </c>
      <c r="AR84" s="25"/>
      <c r="AS84" s="25"/>
      <c r="AT84" s="24"/>
      <c r="AU84" s="344">
        <f t="shared" ref="AU84" si="328">+AO84/H84</f>
        <v>0.34322468843108539</v>
      </c>
      <c r="AV84" s="344"/>
      <c r="AW84" s="24">
        <f t="shared" ref="AW84" si="329">+AO84/BV84</f>
        <v>8609.0133333333342</v>
      </c>
      <c r="AX84" s="354"/>
      <c r="AY84" s="10"/>
      <c r="AZ84" s="66">
        <f t="shared" ref="AZ84" si="330">+BB84-BB83</f>
        <v>453121</v>
      </c>
      <c r="BA84" s="67"/>
      <c r="BB84" s="67">
        <v>18603174</v>
      </c>
      <c r="BC84" s="67"/>
      <c r="BD84" s="67">
        <f t="shared" ref="BD84" si="331">+D84</f>
        <v>21882</v>
      </c>
      <c r="BE84" s="67"/>
      <c r="BF84" s="157">
        <f t="shared" ref="BF84" si="332">+BD84/AZ84</f>
        <v>4.8291736644295896E-2</v>
      </c>
      <c r="BG84" s="67"/>
      <c r="BH84" s="185"/>
      <c r="BI84" s="67"/>
      <c r="BJ84" s="67"/>
      <c r="BK84" s="67"/>
      <c r="BL84" s="157"/>
      <c r="BM84" s="66">
        <f t="shared" ref="BM84" si="333">+BB84/BV84</f>
        <v>248042.32</v>
      </c>
      <c r="BN84" s="67"/>
      <c r="BO84" s="67">
        <f t="shared" ref="BO84" si="334">+BO83+BD84</f>
        <v>1628883</v>
      </c>
      <c r="BP84" s="67"/>
      <c r="BQ84" s="74">
        <f t="shared" ref="BQ84" si="335">+BO84/BB84</f>
        <v>8.7559413248513393E-2</v>
      </c>
      <c r="BR84" s="67"/>
      <c r="BS84" s="86"/>
      <c r="BT84" s="185"/>
      <c r="BU84" s="1"/>
      <c r="BV84">
        <f t="shared" si="220"/>
        <v>75</v>
      </c>
    </row>
    <row r="85" spans="2:84" x14ac:dyDescent="0.3">
      <c r="B85" s="173">
        <f t="shared" si="203"/>
        <v>43985</v>
      </c>
      <c r="C85" s="61"/>
      <c r="D85" s="17">
        <v>20578</v>
      </c>
      <c r="E85" s="16"/>
      <c r="F85" s="16"/>
      <c r="G85" s="16"/>
      <c r="H85" s="16">
        <f t="shared" ref="H85" si="336">+H84+D85</f>
        <v>1901783</v>
      </c>
      <c r="I85" s="16"/>
      <c r="J85" s="38">
        <f t="shared" ref="J85" si="337">+D85/H84</f>
        <v>1.0938733418208011E-2</v>
      </c>
      <c r="K85" s="16"/>
      <c r="L85" s="16"/>
      <c r="M85" s="16"/>
      <c r="N85" s="16">
        <f t="shared" ref="N85" si="338">+H85/BV85</f>
        <v>25023.46052631579</v>
      </c>
      <c r="O85" s="41"/>
      <c r="P85" s="17"/>
      <c r="Q85" s="16"/>
      <c r="R85" s="60"/>
      <c r="S85" s="16"/>
      <c r="T85" s="41"/>
      <c r="U85" s="10"/>
      <c r="V85" s="34">
        <v>1083</v>
      </c>
      <c r="W85" s="33"/>
      <c r="X85" s="33"/>
      <c r="Y85" s="33"/>
      <c r="Z85" s="33">
        <f t="shared" ref="Z85" si="339">+Z84+V85</f>
        <v>109142</v>
      </c>
      <c r="AA85" s="33"/>
      <c r="AB85" s="46">
        <f t="shared" ref="AB85" si="340">+Z85/H85</f>
        <v>5.738930256501399E-2</v>
      </c>
      <c r="AC85" s="33"/>
      <c r="AD85" s="33">
        <f t="shared" ref="AD85" si="341">+Z85/BV85</f>
        <v>1436.078947368421</v>
      </c>
      <c r="AE85" s="50"/>
      <c r="AF85" s="33"/>
      <c r="AG85" s="33"/>
      <c r="AH85" s="233"/>
      <c r="AI85" s="50"/>
      <c r="AJ85" s="10"/>
      <c r="AK85" s="23">
        <f t="shared" ref="AK85" si="342">+AO85-AO84</f>
        <v>42994</v>
      </c>
      <c r="AL85" s="24"/>
      <c r="AM85" s="24"/>
      <c r="AN85" s="24">
        <v>178263</v>
      </c>
      <c r="AO85" s="24">
        <v>688670</v>
      </c>
      <c r="AP85" s="24"/>
      <c r="AQ85" s="25">
        <f t="shared" ref="AQ85" si="343">+AK85/AO84</f>
        <v>6.6587576431522938E-2</v>
      </c>
      <c r="AR85" s="25"/>
      <c r="AS85" s="25"/>
      <c r="AT85" s="24"/>
      <c r="AU85" s="344">
        <f t="shared" ref="AU85" si="344">+AO85/H85</f>
        <v>0.36211807551124392</v>
      </c>
      <c r="AV85" s="344"/>
      <c r="AW85" s="24">
        <f t="shared" ref="AW85" si="345">+AO85/BV85</f>
        <v>9061.4473684210534</v>
      </c>
      <c r="AX85" s="354"/>
      <c r="AY85" s="10"/>
      <c r="AZ85" s="66">
        <f t="shared" ref="AZ85" si="346">+BB85-BB84</f>
        <v>493497</v>
      </c>
      <c r="BA85" s="67"/>
      <c r="BB85" s="67">
        <v>19096671</v>
      </c>
      <c r="BC85" s="67"/>
      <c r="BD85" s="67">
        <f t="shared" ref="BD85" si="347">+D85</f>
        <v>20578</v>
      </c>
      <c r="BE85" s="67"/>
      <c r="BF85" s="157">
        <f t="shared" ref="BF85" si="348">+BD85/AZ85</f>
        <v>4.1698328459950113E-2</v>
      </c>
      <c r="BG85" s="67"/>
      <c r="BH85" s="185"/>
      <c r="BI85" s="67"/>
      <c r="BJ85" s="67"/>
      <c r="BK85" s="67"/>
      <c r="BL85" s="157"/>
      <c r="BM85" s="66">
        <f t="shared" ref="BM85" si="349">+BB85/BV85</f>
        <v>251271.98684210525</v>
      </c>
      <c r="BN85" s="67"/>
      <c r="BO85" s="67">
        <f t="shared" ref="BO85" si="350">+BO84+BD85</f>
        <v>1649461</v>
      </c>
      <c r="BP85" s="67"/>
      <c r="BQ85" s="74">
        <f t="shared" ref="BQ85" si="351">+BO85/BB85</f>
        <v>8.6374269106903503E-2</v>
      </c>
      <c r="BR85" s="67"/>
      <c r="BS85" s="86"/>
      <c r="BT85" s="185"/>
      <c r="BU85" s="1"/>
      <c r="BV85">
        <f t="shared" si="220"/>
        <v>76</v>
      </c>
    </row>
    <row r="86" spans="2:84" x14ac:dyDescent="0.3">
      <c r="B86" s="173">
        <f t="shared" si="203"/>
        <v>43986</v>
      </c>
      <c r="C86" s="61"/>
      <c r="D86" s="17">
        <v>22268</v>
      </c>
      <c r="E86" s="16"/>
      <c r="F86" s="16"/>
      <c r="G86" s="16"/>
      <c r="H86" s="16">
        <f t="shared" ref="H86" si="352">+H85+D86</f>
        <v>1924051</v>
      </c>
      <c r="I86" s="16"/>
      <c r="J86" s="38">
        <f t="shared" ref="J86" si="353">+D86/H85</f>
        <v>1.170901201661809E-2</v>
      </c>
      <c r="K86" s="16"/>
      <c r="L86" s="16"/>
      <c r="M86" s="16"/>
      <c r="N86" s="16">
        <f t="shared" ref="N86" si="354">+H86/BV86</f>
        <v>24987.675324675325</v>
      </c>
      <c r="O86" s="41"/>
      <c r="P86" s="17"/>
      <c r="Q86" s="16"/>
      <c r="R86" s="60"/>
      <c r="S86" s="16"/>
      <c r="T86" s="41"/>
      <c r="U86" s="10"/>
      <c r="V86" s="34">
        <v>1031</v>
      </c>
      <c r="W86" s="33"/>
      <c r="X86" s="33"/>
      <c r="Y86" s="33"/>
      <c r="Z86" s="33">
        <f t="shared" ref="Z86" si="355">+Z85+V86</f>
        <v>110173</v>
      </c>
      <c r="AA86" s="33"/>
      <c r="AB86" s="46">
        <f t="shared" ref="AB86" si="356">+Z86/H86</f>
        <v>5.7260956180475463E-2</v>
      </c>
      <c r="AC86" s="33"/>
      <c r="AD86" s="33">
        <f t="shared" ref="AD86" si="357">+Z86/BV86</f>
        <v>1430.8181818181818</v>
      </c>
      <c r="AE86" s="50"/>
      <c r="AF86" s="33"/>
      <c r="AG86" s="33"/>
      <c r="AH86" s="233"/>
      <c r="AI86" s="50"/>
      <c r="AJ86" s="10"/>
      <c r="AK86" s="23">
        <f t="shared" ref="AK86" si="358">+AO86-AO85</f>
        <v>23582</v>
      </c>
      <c r="AL86" s="24"/>
      <c r="AM86" s="24"/>
      <c r="AN86" s="24">
        <v>178263</v>
      </c>
      <c r="AO86" s="24">
        <v>712252</v>
      </c>
      <c r="AP86" s="24"/>
      <c r="AQ86" s="25">
        <f t="shared" ref="AQ86" si="359">+AK86/AO85</f>
        <v>3.4242815862459523E-2</v>
      </c>
      <c r="AR86" s="25"/>
      <c r="AS86" s="25"/>
      <c r="AT86" s="24"/>
      <c r="AU86" s="344">
        <f t="shared" ref="AU86" si="360">+AO86/H86</f>
        <v>0.37018353463603615</v>
      </c>
      <c r="AV86" s="344"/>
      <c r="AW86" s="24">
        <f t="shared" ref="AW86" si="361">+AO86/BV86</f>
        <v>9250.0259740259735</v>
      </c>
      <c r="AX86" s="354"/>
      <c r="AY86" s="10"/>
      <c r="AZ86" s="66">
        <f t="shared" ref="AZ86" si="362">+BB86-BB85</f>
        <v>471398</v>
      </c>
      <c r="BA86" s="67"/>
      <c r="BB86" s="67">
        <v>19568069</v>
      </c>
      <c r="BC86" s="67"/>
      <c r="BD86" s="67">
        <f t="shared" ref="BD86" si="363">+D86</f>
        <v>22268</v>
      </c>
      <c r="BE86" s="67"/>
      <c r="BF86" s="157">
        <f t="shared" ref="BF86" si="364">+BD86/AZ86</f>
        <v>4.7238214841810955E-2</v>
      </c>
      <c r="BG86" s="67"/>
      <c r="BH86" s="185"/>
      <c r="BI86" s="67"/>
      <c r="BJ86" s="67"/>
      <c r="BK86" s="67"/>
      <c r="BL86" s="157"/>
      <c r="BM86" s="66">
        <f t="shared" ref="BM86" si="365">+BB86/BV86</f>
        <v>254130.76623376625</v>
      </c>
      <c r="BN86" s="67"/>
      <c r="BO86" s="67">
        <f t="shared" ref="BO86" si="366">+BO85+BD86</f>
        <v>1671729</v>
      </c>
      <c r="BP86" s="67"/>
      <c r="BQ86" s="74">
        <f t="shared" ref="BQ86" si="367">+BO86/BB86</f>
        <v>8.5431475124091188E-2</v>
      </c>
      <c r="BR86" s="67"/>
      <c r="BS86" s="86"/>
      <c r="BT86" s="185"/>
      <c r="BU86" s="1"/>
      <c r="BV86">
        <f t="shared" si="220"/>
        <v>77</v>
      </c>
    </row>
    <row r="87" spans="2:84" x14ac:dyDescent="0.3">
      <c r="B87" s="173">
        <f t="shared" si="203"/>
        <v>43987</v>
      </c>
      <c r="C87" s="61"/>
      <c r="D87" s="17">
        <v>25309</v>
      </c>
      <c r="E87" s="16"/>
      <c r="F87" s="16"/>
      <c r="G87" s="16"/>
      <c r="H87" s="16">
        <f t="shared" ref="H87" si="368">+H86+D87</f>
        <v>1949360</v>
      </c>
      <c r="I87" s="16"/>
      <c r="J87" s="38">
        <f t="shared" ref="J87" si="369">+D87/H86</f>
        <v>1.3154017227194082E-2</v>
      </c>
      <c r="K87" s="16"/>
      <c r="L87" s="16"/>
      <c r="M87" s="16"/>
      <c r="N87" s="16">
        <f t="shared" ref="N87" si="370">+H87/BV87</f>
        <v>24991.794871794871</v>
      </c>
      <c r="O87" s="41"/>
      <c r="P87" s="17"/>
      <c r="Q87" s="16"/>
      <c r="R87" s="60"/>
      <c r="S87" s="16"/>
      <c r="T87" s="41"/>
      <c r="U87" s="10"/>
      <c r="V87" s="34">
        <v>975</v>
      </c>
      <c r="W87" s="33"/>
      <c r="X87" s="33"/>
      <c r="Y87" s="33"/>
      <c r="Z87" s="33">
        <f t="shared" ref="Z87" si="371">+Z86+V87</f>
        <v>111148</v>
      </c>
      <c r="AA87" s="33"/>
      <c r="AB87" s="46">
        <f t="shared" ref="AB87" si="372">+Z87/H87</f>
        <v>5.701768785652727E-2</v>
      </c>
      <c r="AC87" s="33"/>
      <c r="AD87" s="33">
        <f t="shared" ref="AD87" si="373">+Z87/BV87</f>
        <v>1424.9743589743589</v>
      </c>
      <c r="AE87" s="50"/>
      <c r="AF87" s="33"/>
      <c r="AG87" s="33"/>
      <c r="AH87" s="233"/>
      <c r="AI87" s="50"/>
      <c r="AJ87" s="10"/>
      <c r="AK87" s="23">
        <f t="shared" ref="AK87" si="374">+AO87-AO86</f>
        <v>26394</v>
      </c>
      <c r="AL87" s="24"/>
      <c r="AM87" s="24"/>
      <c r="AN87" s="24">
        <v>178263</v>
      </c>
      <c r="AO87" s="24">
        <v>738646</v>
      </c>
      <c r="AP87" s="24"/>
      <c r="AQ87" s="25">
        <f t="shared" ref="AQ87" si="375">+AK87/AO86</f>
        <v>3.7057109000746928E-2</v>
      </c>
      <c r="AR87" s="25"/>
      <c r="AS87" s="25"/>
      <c r="AT87" s="24"/>
      <c r="AU87" s="344">
        <f t="shared" ref="AU87" si="376">+AO87/H87</f>
        <v>0.3789171830754709</v>
      </c>
      <c r="AV87" s="344"/>
      <c r="AW87" s="24">
        <f t="shared" ref="AW87" si="377">+AO87/BV87</f>
        <v>9469.8205128205136</v>
      </c>
      <c r="AX87" s="354"/>
      <c r="AY87" s="10"/>
      <c r="AZ87" s="66">
        <f t="shared" ref="AZ87" si="378">+BB87-BB86</f>
        <v>699286</v>
      </c>
      <c r="BA87" s="67"/>
      <c r="BB87" s="67">
        <v>20267355</v>
      </c>
      <c r="BC87" s="67"/>
      <c r="BD87" s="67">
        <f t="shared" ref="BD87" si="379">+D87</f>
        <v>25309</v>
      </c>
      <c r="BE87" s="67"/>
      <c r="BF87" s="157">
        <f t="shared" ref="BF87" si="380">+BD87/AZ87</f>
        <v>3.6192630769098767E-2</v>
      </c>
      <c r="BG87" s="67"/>
      <c r="BH87" s="185"/>
      <c r="BI87" s="67"/>
      <c r="BJ87" s="67"/>
      <c r="BK87" s="67"/>
      <c r="BL87" s="157"/>
      <c r="BM87" s="66">
        <f t="shared" ref="BM87" si="381">+BB87/BV87</f>
        <v>259837.88461538462</v>
      </c>
      <c r="BN87" s="67"/>
      <c r="BO87" s="67">
        <f t="shared" ref="BO87" si="382">+BO86+BD87</f>
        <v>1697038</v>
      </c>
      <c r="BP87" s="67"/>
      <c r="BQ87" s="74">
        <f t="shared" ref="BQ87" si="383">+BO87/BB87</f>
        <v>8.3732583753528766E-2</v>
      </c>
      <c r="BR87" s="67"/>
      <c r="BS87" s="86"/>
      <c r="BT87" s="185"/>
      <c r="BU87" s="1"/>
      <c r="BV87">
        <f t="shared" si="220"/>
        <v>78</v>
      </c>
    </row>
    <row r="88" spans="2:84" x14ac:dyDescent="0.3">
      <c r="B88" s="479">
        <f t="shared" si="203"/>
        <v>43988</v>
      </c>
      <c r="C88" s="61"/>
      <c r="D88" s="17">
        <v>22836</v>
      </c>
      <c r="E88" s="16"/>
      <c r="F88" s="16"/>
      <c r="G88" s="16"/>
      <c r="H88" s="16">
        <f t="shared" ref="H88" si="384">+H87+D88</f>
        <v>1972196</v>
      </c>
      <c r="I88" s="16"/>
      <c r="J88" s="38">
        <f t="shared" ref="J88" si="385">+D88/H87</f>
        <v>1.1714614027167891E-2</v>
      </c>
      <c r="K88" s="16"/>
      <c r="L88" s="16"/>
      <c r="M88" s="16"/>
      <c r="N88" s="16">
        <f t="shared" ref="N88" si="386">+H88/BV88</f>
        <v>24964.506329113923</v>
      </c>
      <c r="O88" s="41"/>
      <c r="P88" s="17"/>
      <c r="Q88" s="16"/>
      <c r="R88" s="60"/>
      <c r="S88" s="16"/>
      <c r="T88" s="41"/>
      <c r="U88" s="481"/>
      <c r="V88" s="34">
        <v>706</v>
      </c>
      <c r="W88" s="33"/>
      <c r="X88" s="33"/>
      <c r="Y88" s="33"/>
      <c r="Z88" s="33">
        <f t="shared" ref="Z88" si="387">+Z87+V88</f>
        <v>111854</v>
      </c>
      <c r="AA88" s="33"/>
      <c r="AB88" s="46">
        <f t="shared" ref="AB88" si="388">+Z88/H88</f>
        <v>5.6715458301304741E-2</v>
      </c>
      <c r="AC88" s="33"/>
      <c r="AD88" s="33">
        <f t="shared" ref="AD88" si="389">+Z88/BV88</f>
        <v>1415.873417721519</v>
      </c>
      <c r="AE88" s="50"/>
      <c r="AF88" s="33"/>
      <c r="AG88" s="33"/>
      <c r="AH88" s="233"/>
      <c r="AI88" s="50"/>
      <c r="AJ88" s="10"/>
      <c r="AK88" s="23">
        <f t="shared" ref="AK88" si="390">+AO88-AO87</f>
        <v>13049</v>
      </c>
      <c r="AL88" s="24"/>
      <c r="AM88" s="24"/>
      <c r="AN88" s="24">
        <v>178263</v>
      </c>
      <c r="AO88" s="24">
        <v>751695</v>
      </c>
      <c r="AP88" s="24"/>
      <c r="AQ88" s="25">
        <f t="shared" ref="AQ88" si="391">+AK88/AO87</f>
        <v>1.7666107986775804E-2</v>
      </c>
      <c r="AR88" s="25"/>
      <c r="AS88" s="25"/>
      <c r="AT88" s="24"/>
      <c r="AU88" s="344">
        <f t="shared" ref="AU88" si="392">+AO88/H88</f>
        <v>0.38114619439447195</v>
      </c>
      <c r="AV88" s="344"/>
      <c r="AW88" s="24">
        <f t="shared" ref="AW88" si="393">+AO88/BV88</f>
        <v>9515.1265822784808</v>
      </c>
      <c r="AX88" s="354"/>
      <c r="AY88" s="10"/>
      <c r="AZ88" s="66">
        <f t="shared" ref="AZ88" si="394">+BB88-BB87</f>
        <v>551073</v>
      </c>
      <c r="BA88" s="67"/>
      <c r="BB88" s="67">
        <v>20818428</v>
      </c>
      <c r="BC88" s="67"/>
      <c r="BD88" s="67">
        <f t="shared" ref="BD88" si="395">+D88</f>
        <v>22836</v>
      </c>
      <c r="BE88" s="67"/>
      <c r="BF88" s="157">
        <f t="shared" ref="BF88" si="396">+BD88/AZ88</f>
        <v>4.1439155973890938E-2</v>
      </c>
      <c r="BG88" s="67"/>
      <c r="BH88" s="185"/>
      <c r="BI88" s="67"/>
      <c r="BJ88" s="67"/>
      <c r="BK88" s="67"/>
      <c r="BL88" s="157"/>
      <c r="BM88" s="66">
        <f t="shared" ref="BM88" si="397">+BB88/BV88</f>
        <v>263524.40506329114</v>
      </c>
      <c r="BN88" s="67"/>
      <c r="BO88" s="67">
        <f t="shared" ref="BO88" si="398">+BO87+BD88</f>
        <v>1719874</v>
      </c>
      <c r="BP88" s="67"/>
      <c r="BQ88" s="74">
        <f t="shared" ref="BQ88" si="399">+BO88/BB88</f>
        <v>8.2613058008030191E-2</v>
      </c>
      <c r="BR88" s="67"/>
      <c r="BS88" s="86"/>
      <c r="BT88" s="185"/>
      <c r="BU88" s="1"/>
      <c r="BV88">
        <f t="shared" si="220"/>
        <v>79</v>
      </c>
    </row>
    <row r="89" spans="2:84" x14ac:dyDescent="0.3">
      <c r="B89" s="393">
        <f t="shared" si="203"/>
        <v>43989</v>
      </c>
      <c r="C89" s="61"/>
      <c r="D89" s="17">
        <v>18905</v>
      </c>
      <c r="E89" s="16"/>
      <c r="F89" s="16"/>
      <c r="G89" s="16"/>
      <c r="H89" s="16">
        <f t="shared" ref="H89" si="400">+H88+D89</f>
        <v>1991101</v>
      </c>
      <c r="I89" s="16"/>
      <c r="J89" s="613">
        <f t="shared" ref="J89" si="401">+D89/H88</f>
        <v>9.585761252938349E-3</v>
      </c>
      <c r="K89" s="16"/>
      <c r="L89" s="16"/>
      <c r="M89" s="16"/>
      <c r="N89" s="16">
        <f t="shared" ref="N89" si="402">+H89/BV89</f>
        <v>24888.762500000001</v>
      </c>
      <c r="O89" s="41"/>
      <c r="P89" s="17">
        <f t="shared" ref="P89" si="403">SUM(D83:D89)</f>
        <v>153931</v>
      </c>
      <c r="Q89" s="16"/>
      <c r="R89" s="60">
        <f t="shared" ref="R89" si="404">+(P89-P82)/P82</f>
        <v>2.1209547945387239E-2</v>
      </c>
      <c r="S89" s="16"/>
      <c r="T89" s="41"/>
      <c r="U89" s="394"/>
      <c r="V89" s="34">
        <v>373</v>
      </c>
      <c r="W89" s="33"/>
      <c r="X89" s="33"/>
      <c r="Y89" s="33"/>
      <c r="Z89" s="33">
        <f t="shared" ref="Z89" si="405">+Z88+V89</f>
        <v>112227</v>
      </c>
      <c r="AA89" s="33"/>
      <c r="AB89" s="46">
        <f t="shared" ref="AB89" si="406">+Z89/H89</f>
        <v>5.6364292921353559E-2</v>
      </c>
      <c r="AC89" s="33"/>
      <c r="AD89" s="33">
        <f t="shared" ref="AD89" si="407">+Z89/BV89</f>
        <v>1402.8375000000001</v>
      </c>
      <c r="AE89" s="50"/>
      <c r="AF89" s="33">
        <f t="shared" ref="AF89" si="408">SUM(V83:V89)</f>
        <v>6032</v>
      </c>
      <c r="AG89" s="33"/>
      <c r="AH89" s="233">
        <f t="shared" ref="AH89" si="409">+(AF89-AF82)/AF82</f>
        <v>-0.12516316171138506</v>
      </c>
      <c r="AI89" s="50"/>
      <c r="AJ89" s="10"/>
      <c r="AK89" s="23">
        <f t="shared" ref="AK89" si="410">+AO89-AO88</f>
        <v>10013</v>
      </c>
      <c r="AL89" s="24"/>
      <c r="AM89" s="24"/>
      <c r="AN89" s="24">
        <v>178263</v>
      </c>
      <c r="AO89" s="24">
        <v>761708</v>
      </c>
      <c r="AP89" s="24"/>
      <c r="AQ89" s="25">
        <f t="shared" ref="AQ89" si="411">+AK89/AO88</f>
        <v>1.3320562196103473E-2</v>
      </c>
      <c r="AR89" s="25"/>
      <c r="AS89" s="25"/>
      <c r="AT89" s="24"/>
      <c r="AU89" s="344">
        <f t="shared" ref="AU89" si="412">+AO89/H89</f>
        <v>0.38255618373954914</v>
      </c>
      <c r="AV89" s="344"/>
      <c r="AW89" s="24">
        <f t="shared" ref="AW89" si="413">+AO89/BV89</f>
        <v>9521.35</v>
      </c>
      <c r="AX89" s="354"/>
      <c r="AY89" s="10"/>
      <c r="AZ89" s="66">
        <f t="shared" ref="AZ89" si="414">+BB89-BB88</f>
        <v>473249</v>
      </c>
      <c r="BA89" s="67"/>
      <c r="BB89" s="67">
        <v>21291677</v>
      </c>
      <c r="BC89" s="67"/>
      <c r="BD89" s="67">
        <f t="shared" ref="BD89" si="415">+D89</f>
        <v>18905</v>
      </c>
      <c r="BE89" s="67"/>
      <c r="BF89" s="157">
        <f t="shared" ref="BF89" si="416">+BD89/AZ89</f>
        <v>3.9947258208680843E-2</v>
      </c>
      <c r="BG89" s="67"/>
      <c r="BH89" s="185"/>
      <c r="BI89" s="67"/>
      <c r="BJ89" s="67">
        <f t="shared" ref="BJ89" si="417">SUM(AZ83:AZ89)</f>
        <v>3619110</v>
      </c>
      <c r="BK89" s="67"/>
      <c r="BL89" s="157">
        <f t="shared" ref="BL89" si="418">+P89/BJ89</f>
        <v>4.2532832657752873E-2</v>
      </c>
      <c r="BM89" s="66">
        <f t="shared" ref="BM89" si="419">+BB89/BV89</f>
        <v>266145.96250000002</v>
      </c>
      <c r="BN89" s="67"/>
      <c r="BO89" s="67">
        <f t="shared" ref="BO89" si="420">+BO88+BD89</f>
        <v>1738779</v>
      </c>
      <c r="BP89" s="67"/>
      <c r="BQ89" s="74">
        <f t="shared" ref="BQ89" si="421">+BO89/BB89</f>
        <v>8.1664727489525607E-2</v>
      </c>
      <c r="BR89" s="67"/>
      <c r="BS89" s="86"/>
      <c r="BT89" s="185"/>
      <c r="BU89" s="1"/>
      <c r="BV89">
        <f t="shared" si="220"/>
        <v>80</v>
      </c>
    </row>
    <row r="90" spans="2:84" x14ac:dyDescent="0.3">
      <c r="B90" s="173">
        <f t="shared" si="203"/>
        <v>43990</v>
      </c>
      <c r="C90" s="61"/>
      <c r="D90" s="17">
        <v>19044</v>
      </c>
      <c r="E90" s="16"/>
      <c r="F90" s="16"/>
      <c r="G90" s="16"/>
      <c r="H90" s="16">
        <f t="shared" ref="H90" si="422">+H89+D90</f>
        <v>2010145</v>
      </c>
      <c r="I90" s="16"/>
      <c r="J90" s="613">
        <f t="shared" ref="J90" si="423">+D90/H89</f>
        <v>9.5645574985899762E-3</v>
      </c>
      <c r="K90" s="16"/>
      <c r="L90" s="16"/>
      <c r="M90" s="16"/>
      <c r="N90" s="16">
        <f t="shared" ref="N90" si="424">+H90/BV90</f>
        <v>24816.604938271605</v>
      </c>
      <c r="O90" s="41"/>
      <c r="P90" s="17">
        <f t="shared" ref="P90" si="425">SUM(D84:D90)</f>
        <v>150822</v>
      </c>
      <c r="Q90" s="16"/>
      <c r="R90" s="60" t="e">
        <f t="shared" ref="R90" si="426">+(P90-P83)/P83</f>
        <v>#DIV/0!</v>
      </c>
      <c r="S90" s="16"/>
      <c r="T90" s="41"/>
      <c r="U90" s="10"/>
      <c r="V90" s="34">
        <v>586</v>
      </c>
      <c r="W90" s="33"/>
      <c r="X90" s="33"/>
      <c r="Y90" s="33"/>
      <c r="Z90" s="33">
        <f t="shared" ref="Z90" si="427">+Z89+V90</f>
        <v>112813</v>
      </c>
      <c r="AA90" s="33"/>
      <c r="AB90" s="46">
        <f t="shared" ref="AB90" si="428">+Z90/H90</f>
        <v>5.6121822057612757E-2</v>
      </c>
      <c r="AC90" s="33"/>
      <c r="AD90" s="33">
        <f t="shared" ref="AD90" si="429">+Z90/BV90</f>
        <v>1392.7530864197531</v>
      </c>
      <c r="AE90" s="50"/>
      <c r="AF90" s="33">
        <f t="shared" ref="AF90" si="430">SUM(V84:V90)</f>
        <v>5888</v>
      </c>
      <c r="AG90" s="33"/>
      <c r="AH90" s="233" t="e">
        <f t="shared" ref="AH90" si="431">+(AF90-AF83)/AF83</f>
        <v>#DIV/0!</v>
      </c>
      <c r="AI90" s="50"/>
      <c r="AJ90" s="10"/>
      <c r="AK90" s="23">
        <f t="shared" ref="AK90" si="432">+AO90-AO89</f>
        <v>11772</v>
      </c>
      <c r="AL90" s="24"/>
      <c r="AM90" s="24"/>
      <c r="AN90" s="24">
        <v>178263</v>
      </c>
      <c r="AO90" s="24">
        <v>773480</v>
      </c>
      <c r="AP90" s="24"/>
      <c r="AQ90" s="25">
        <f t="shared" ref="AQ90" si="433">+AK90/AO89</f>
        <v>1.545474118691152E-2</v>
      </c>
      <c r="AR90" s="25"/>
      <c r="AS90" s="25"/>
      <c r="AT90" s="24"/>
      <c r="AU90" s="344">
        <f t="shared" ref="AU90" si="434">+AO90/H90</f>
        <v>0.38478816204801147</v>
      </c>
      <c r="AV90" s="344"/>
      <c r="AW90" s="24">
        <f t="shared" ref="AW90" si="435">+AO90/BV90</f>
        <v>9549.1358024691363</v>
      </c>
      <c r="AX90" s="354"/>
      <c r="AY90" s="10"/>
      <c r="AZ90" s="66">
        <f t="shared" ref="AZ90" si="436">+BB90-BB89</f>
        <v>433387</v>
      </c>
      <c r="BA90" s="67"/>
      <c r="BB90" s="67">
        <v>21725064</v>
      </c>
      <c r="BC90" s="67"/>
      <c r="BD90" s="67">
        <f t="shared" ref="BD90" si="437">+D90</f>
        <v>19044</v>
      </c>
      <c r="BE90" s="67"/>
      <c r="BF90" s="157">
        <f t="shared" ref="BF90" si="438">+BD90/AZ90</f>
        <v>4.3942250229010098E-2</v>
      </c>
      <c r="BG90" s="67"/>
      <c r="BH90" s="185"/>
      <c r="BI90" s="67"/>
      <c r="BJ90" s="67">
        <f t="shared" ref="BJ90" si="439">SUM(AZ84:AZ90)</f>
        <v>3575011</v>
      </c>
      <c r="BK90" s="67"/>
      <c r="BL90" s="157">
        <f t="shared" ref="BL90" si="440">+P90/BJ90</f>
        <v>4.2187842219226737E-2</v>
      </c>
      <c r="BM90" s="66">
        <f t="shared" ref="BM90" si="441">+BB90/BV90</f>
        <v>268210.66666666669</v>
      </c>
      <c r="BN90" s="67"/>
      <c r="BO90" s="67">
        <f t="shared" ref="BO90" si="442">+BO89+BD90</f>
        <v>1757823</v>
      </c>
      <c r="BP90" s="67"/>
      <c r="BQ90" s="74">
        <f t="shared" ref="BQ90" si="443">+BO90/BB90</f>
        <v>8.0912212732721978E-2</v>
      </c>
      <c r="BR90" s="67"/>
      <c r="BS90" s="86"/>
      <c r="BT90" s="185"/>
      <c r="BU90" s="1"/>
      <c r="BV90">
        <f t="shared" si="220"/>
        <v>81</v>
      </c>
    </row>
    <row r="91" spans="2:84" x14ac:dyDescent="0.3">
      <c r="B91" s="173">
        <f t="shared" si="203"/>
        <v>43991</v>
      </c>
      <c r="C91" s="61"/>
      <c r="D91" s="17"/>
      <c r="E91" s="16"/>
      <c r="F91" s="16"/>
      <c r="G91" s="16"/>
      <c r="H91" s="16"/>
      <c r="I91" s="16"/>
      <c r="J91" s="38"/>
      <c r="K91" s="16"/>
      <c r="L91" s="16"/>
      <c r="M91" s="16"/>
      <c r="N91" s="16"/>
      <c r="O91" s="41"/>
      <c r="P91" s="457"/>
      <c r="Q91" s="16"/>
      <c r="R91" s="60"/>
      <c r="S91" s="16"/>
      <c r="T91" s="41"/>
      <c r="U91" s="10"/>
      <c r="V91" s="34"/>
      <c r="W91" s="33"/>
      <c r="X91" s="33"/>
      <c r="Y91" s="33"/>
      <c r="Z91" s="33"/>
      <c r="AA91" s="33"/>
      <c r="AB91" s="46"/>
      <c r="AC91" s="33"/>
      <c r="AD91" s="33"/>
      <c r="AE91" s="50"/>
      <c r="AF91" s="33"/>
      <c r="AG91" s="33"/>
      <c r="AH91" s="233"/>
      <c r="AI91" s="50"/>
      <c r="AJ91" s="10"/>
      <c r="AK91" s="23"/>
      <c r="AL91" s="24"/>
      <c r="AM91" s="24"/>
      <c r="AN91" s="24"/>
      <c r="AO91" s="24"/>
      <c r="AP91" s="24"/>
      <c r="AQ91" s="25"/>
      <c r="AR91" s="25"/>
      <c r="AS91" s="25"/>
      <c r="AT91" s="24"/>
      <c r="AU91" s="344"/>
      <c r="AV91" s="344"/>
      <c r="AW91" s="24"/>
      <c r="AX91" s="354"/>
      <c r="AY91" s="10"/>
      <c r="AZ91" s="66"/>
      <c r="BA91" s="67"/>
      <c r="BB91" s="67"/>
      <c r="BC91" s="67"/>
      <c r="BD91" s="67"/>
      <c r="BE91" s="67"/>
      <c r="BF91" s="157"/>
      <c r="BG91" s="67"/>
      <c r="BH91" s="185"/>
      <c r="BI91" s="67"/>
      <c r="BJ91" s="157"/>
      <c r="BK91" s="67"/>
      <c r="BL91" s="157"/>
      <c r="BM91" s="66"/>
      <c r="BN91" s="67"/>
      <c r="BO91" s="67"/>
      <c r="BP91" s="67"/>
      <c r="BQ91" s="74"/>
      <c r="BR91" s="67"/>
      <c r="BS91" s="86"/>
      <c r="BT91" s="185"/>
      <c r="BU91" s="1"/>
      <c r="BV91">
        <f t="shared" si="220"/>
        <v>82</v>
      </c>
    </row>
    <row r="92" spans="2:84" x14ac:dyDescent="0.3">
      <c r="B92" s="173">
        <f t="shared" si="203"/>
        <v>43992</v>
      </c>
      <c r="D92" s="18"/>
      <c r="E92" s="19"/>
      <c r="F92" s="19"/>
      <c r="G92" s="19"/>
      <c r="H92" s="19"/>
      <c r="I92" s="19"/>
      <c r="J92" s="39"/>
      <c r="K92" s="19"/>
      <c r="L92" s="19"/>
      <c r="M92" s="19"/>
      <c r="N92" s="19"/>
      <c r="O92" s="43"/>
      <c r="P92" s="18"/>
      <c r="Q92" s="19"/>
      <c r="R92" s="19"/>
      <c r="S92" s="19"/>
      <c r="T92" s="43"/>
      <c r="U92" s="1"/>
      <c r="V92" s="35"/>
      <c r="W92" s="36"/>
      <c r="X92" s="36"/>
      <c r="Y92" s="36"/>
      <c r="Z92" s="36"/>
      <c r="AA92" s="36"/>
      <c r="AB92" s="47"/>
      <c r="AC92" s="36"/>
      <c r="AD92" s="36"/>
      <c r="AE92" s="51"/>
      <c r="AF92" s="36"/>
      <c r="AG92" s="36"/>
      <c r="AH92" s="36"/>
      <c r="AI92" s="51"/>
      <c r="AJ92" s="1"/>
      <c r="AK92" s="26"/>
      <c r="AL92" s="27"/>
      <c r="AM92" s="27"/>
      <c r="AN92" s="27"/>
      <c r="AO92" s="27"/>
      <c r="AP92" s="27"/>
      <c r="AQ92" s="27"/>
      <c r="AR92" s="27"/>
      <c r="AS92" s="27"/>
      <c r="AT92" s="27"/>
      <c r="AU92" s="346"/>
      <c r="AV92" s="346"/>
      <c r="AW92" s="27"/>
      <c r="AX92" s="353"/>
      <c r="AY92" s="1"/>
      <c r="AZ92" s="68"/>
      <c r="BA92" s="69"/>
      <c r="BB92" s="69"/>
      <c r="BC92" s="69"/>
      <c r="BD92" s="69"/>
      <c r="BE92" s="69"/>
      <c r="BF92" s="69"/>
      <c r="BG92" s="69"/>
      <c r="BH92" s="186"/>
      <c r="BI92" s="69"/>
      <c r="BJ92" s="69"/>
      <c r="BK92" s="69"/>
      <c r="BL92" s="69"/>
      <c r="BM92" s="68"/>
      <c r="BN92" s="69"/>
      <c r="BO92" s="69"/>
      <c r="BP92" s="69"/>
      <c r="BQ92" s="71"/>
      <c r="BR92" s="69"/>
      <c r="BS92" s="69"/>
      <c r="BT92" s="186"/>
      <c r="BU92" s="1"/>
      <c r="BV92">
        <f t="shared" si="220"/>
        <v>83</v>
      </c>
    </row>
    <row r="93" spans="2:84" x14ac:dyDescent="0.3">
      <c r="B93" s="56"/>
      <c r="D93" s="1"/>
      <c r="E93" s="1"/>
      <c r="F93" s="1"/>
      <c r="G93" s="1"/>
      <c r="H93" s="59"/>
      <c r="I93" s="1"/>
      <c r="J93" s="59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59"/>
      <c r="W93" s="1"/>
      <c r="X93" s="1"/>
      <c r="Y93" s="1"/>
      <c r="Z93" s="1"/>
      <c r="AA93" s="1"/>
      <c r="AB93" s="59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59"/>
      <c r="BC93" s="1"/>
      <c r="BD93" s="59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</row>
    <row r="94" spans="2:84" x14ac:dyDescent="0.3">
      <c r="B94" s="181" t="s">
        <v>84</v>
      </c>
      <c r="D94" s="56">
        <f>+D90</f>
        <v>19044</v>
      </c>
      <c r="E94" s="56"/>
      <c r="F94" s="56"/>
      <c r="G94" s="56"/>
      <c r="H94" s="56">
        <f t="shared" ref="H94:BO94" si="444">+H90</f>
        <v>2010145</v>
      </c>
      <c r="I94" s="56">
        <f t="shared" si="444"/>
        <v>0</v>
      </c>
      <c r="J94" s="56">
        <f t="shared" si="444"/>
        <v>9.5645574985899762E-3</v>
      </c>
      <c r="K94" s="56">
        <f t="shared" si="444"/>
        <v>0</v>
      </c>
      <c r="L94" s="56">
        <f t="shared" si="444"/>
        <v>0</v>
      </c>
      <c r="M94" s="56">
        <f t="shared" si="444"/>
        <v>0</v>
      </c>
      <c r="N94" s="56">
        <f t="shared" si="444"/>
        <v>24816.604938271605</v>
      </c>
      <c r="O94" s="56">
        <f t="shared" si="444"/>
        <v>0</v>
      </c>
      <c r="P94" s="56">
        <f t="shared" si="444"/>
        <v>150822</v>
      </c>
      <c r="Q94" s="56">
        <f t="shared" si="444"/>
        <v>0</v>
      </c>
      <c r="R94" s="56" t="e">
        <f t="shared" si="444"/>
        <v>#DIV/0!</v>
      </c>
      <c r="S94" s="56">
        <f t="shared" si="444"/>
        <v>0</v>
      </c>
      <c r="T94" s="56">
        <f t="shared" si="444"/>
        <v>0</v>
      </c>
      <c r="U94" s="56">
        <f t="shared" si="444"/>
        <v>0</v>
      </c>
      <c r="V94" s="56">
        <f t="shared" si="444"/>
        <v>586</v>
      </c>
      <c r="W94" s="56">
        <f t="shared" si="444"/>
        <v>0</v>
      </c>
      <c r="X94" s="56">
        <f t="shared" si="444"/>
        <v>0</v>
      </c>
      <c r="Y94" s="56">
        <f t="shared" si="444"/>
        <v>0</v>
      </c>
      <c r="Z94" s="56">
        <f t="shared" si="444"/>
        <v>112813</v>
      </c>
      <c r="AA94" s="56">
        <f t="shared" si="444"/>
        <v>0</v>
      </c>
      <c r="AB94" s="56">
        <f t="shared" si="444"/>
        <v>5.6121822057612757E-2</v>
      </c>
      <c r="AC94" s="56">
        <f t="shared" si="444"/>
        <v>0</v>
      </c>
      <c r="AD94" s="56">
        <f t="shared" si="444"/>
        <v>1392.7530864197531</v>
      </c>
      <c r="AE94" s="56">
        <f t="shared" si="444"/>
        <v>0</v>
      </c>
      <c r="AF94" s="56">
        <f t="shared" si="444"/>
        <v>5888</v>
      </c>
      <c r="AG94" s="56">
        <f t="shared" si="444"/>
        <v>0</v>
      </c>
      <c r="AH94" s="56" t="e">
        <f t="shared" si="444"/>
        <v>#DIV/0!</v>
      </c>
      <c r="AI94" s="56">
        <f t="shared" si="444"/>
        <v>0</v>
      </c>
      <c r="AJ94" s="56">
        <f t="shared" si="444"/>
        <v>0</v>
      </c>
      <c r="AK94" s="56">
        <f t="shared" si="444"/>
        <v>11772</v>
      </c>
      <c r="AL94" s="56">
        <f t="shared" si="444"/>
        <v>0</v>
      </c>
      <c r="AM94" s="56">
        <f t="shared" si="444"/>
        <v>0</v>
      </c>
      <c r="AN94" s="56">
        <f t="shared" si="444"/>
        <v>178263</v>
      </c>
      <c r="AO94" s="56">
        <f t="shared" si="444"/>
        <v>773480</v>
      </c>
      <c r="AP94" s="56">
        <f t="shared" si="444"/>
        <v>0</v>
      </c>
      <c r="AQ94" s="56">
        <f t="shared" si="444"/>
        <v>1.545474118691152E-2</v>
      </c>
      <c r="AR94" s="56">
        <f t="shared" si="444"/>
        <v>0</v>
      </c>
      <c r="AS94" s="56">
        <f t="shared" si="444"/>
        <v>0</v>
      </c>
      <c r="AT94" s="56">
        <f t="shared" si="444"/>
        <v>0</v>
      </c>
      <c r="AU94" s="56">
        <f t="shared" si="444"/>
        <v>0.38478816204801147</v>
      </c>
      <c r="AV94" s="56">
        <f t="shared" si="444"/>
        <v>0</v>
      </c>
      <c r="AW94" s="56">
        <f t="shared" si="444"/>
        <v>9549.1358024691363</v>
      </c>
      <c r="AX94" s="56">
        <f t="shared" si="444"/>
        <v>0</v>
      </c>
      <c r="AY94" s="56">
        <f t="shared" si="444"/>
        <v>0</v>
      </c>
      <c r="AZ94" s="56">
        <f t="shared" si="444"/>
        <v>433387</v>
      </c>
      <c r="BA94" s="56">
        <f t="shared" si="444"/>
        <v>0</v>
      </c>
      <c r="BB94" s="56">
        <f t="shared" si="444"/>
        <v>21725064</v>
      </c>
      <c r="BC94" s="56">
        <f t="shared" si="444"/>
        <v>0</v>
      </c>
      <c r="BD94" s="56">
        <f t="shared" si="444"/>
        <v>19044</v>
      </c>
      <c r="BE94" s="56">
        <f t="shared" si="444"/>
        <v>0</v>
      </c>
      <c r="BF94" s="56">
        <f t="shared" si="444"/>
        <v>4.3942250229010098E-2</v>
      </c>
      <c r="BG94" s="56">
        <f t="shared" si="444"/>
        <v>0</v>
      </c>
      <c r="BH94" s="56">
        <f t="shared" si="444"/>
        <v>0</v>
      </c>
      <c r="BI94" s="56">
        <f t="shared" si="444"/>
        <v>0</v>
      </c>
      <c r="BJ94" s="56">
        <f t="shared" si="444"/>
        <v>3575011</v>
      </c>
      <c r="BK94" s="56">
        <f t="shared" si="444"/>
        <v>0</v>
      </c>
      <c r="BL94" s="56">
        <f t="shared" si="444"/>
        <v>4.2187842219226737E-2</v>
      </c>
      <c r="BM94" s="56">
        <f t="shared" si="444"/>
        <v>268210.66666666669</v>
      </c>
      <c r="BN94" s="56">
        <f t="shared" si="444"/>
        <v>0</v>
      </c>
      <c r="BO94" s="56">
        <f t="shared" si="444"/>
        <v>1757823</v>
      </c>
      <c r="BP94" s="10"/>
      <c r="BQ94" s="62"/>
      <c r="BR94" s="10"/>
      <c r="BS94" s="10"/>
      <c r="BT94" s="10"/>
      <c r="BU94" s="10"/>
      <c r="BV94" s="161"/>
      <c r="BW94" s="10"/>
      <c r="BX94" s="62"/>
      <c r="BY94" s="10"/>
      <c r="BZ94" s="161"/>
      <c r="CA94" s="61"/>
      <c r="CB94" s="61"/>
      <c r="CC94" s="61"/>
      <c r="CD94" s="61"/>
      <c r="CE94" s="61"/>
      <c r="CF94" s="158"/>
    </row>
    <row r="95" spans="2:84" x14ac:dyDescent="0.3">
      <c r="B95" t="s">
        <v>120</v>
      </c>
      <c r="D95" s="56">
        <f>+D89-D90</f>
        <v>-139</v>
      </c>
      <c r="H95" s="56">
        <f t="shared" ref="H95:BO95" si="445">+H89-H90</f>
        <v>-19044</v>
      </c>
      <c r="I95" s="56">
        <f t="shared" si="445"/>
        <v>0</v>
      </c>
      <c r="J95" s="56">
        <f t="shared" si="445"/>
        <v>2.120375434837285E-5</v>
      </c>
      <c r="K95" s="56">
        <f t="shared" si="445"/>
        <v>0</v>
      </c>
      <c r="L95" s="56">
        <f t="shared" si="445"/>
        <v>0</v>
      </c>
      <c r="M95" s="56">
        <f t="shared" si="445"/>
        <v>0</v>
      </c>
      <c r="N95" s="56">
        <f t="shared" si="445"/>
        <v>72.157561728396104</v>
      </c>
      <c r="O95" s="56">
        <f t="shared" si="445"/>
        <v>0</v>
      </c>
      <c r="P95" s="56">
        <f t="shared" si="445"/>
        <v>3109</v>
      </c>
      <c r="Q95" s="56">
        <f t="shared" si="445"/>
        <v>0</v>
      </c>
      <c r="R95" s="56" t="e">
        <f t="shared" si="445"/>
        <v>#DIV/0!</v>
      </c>
      <c r="S95" s="56">
        <f t="shared" si="445"/>
        <v>0</v>
      </c>
      <c r="T95" s="56">
        <f t="shared" si="445"/>
        <v>0</v>
      </c>
      <c r="U95" s="56">
        <f t="shared" si="445"/>
        <v>0</v>
      </c>
      <c r="V95" s="56">
        <f t="shared" si="445"/>
        <v>-213</v>
      </c>
      <c r="W95" s="56">
        <f t="shared" si="445"/>
        <v>0</v>
      </c>
      <c r="X95" s="56">
        <f t="shared" si="445"/>
        <v>0</v>
      </c>
      <c r="Y95" s="56">
        <f t="shared" si="445"/>
        <v>0</v>
      </c>
      <c r="Z95" s="56">
        <f t="shared" si="445"/>
        <v>-586</v>
      </c>
      <c r="AA95" s="56">
        <f t="shared" si="445"/>
        <v>0</v>
      </c>
      <c r="AB95" s="56">
        <f t="shared" si="445"/>
        <v>2.4247086374080268E-4</v>
      </c>
      <c r="AC95" s="56">
        <f t="shared" si="445"/>
        <v>0</v>
      </c>
      <c r="AD95" s="56">
        <f t="shared" si="445"/>
        <v>10.084413580246974</v>
      </c>
      <c r="AE95" s="56">
        <f t="shared" si="445"/>
        <v>0</v>
      </c>
      <c r="AF95" s="56">
        <f t="shared" si="445"/>
        <v>144</v>
      </c>
      <c r="AG95" s="56">
        <f t="shared" si="445"/>
        <v>0</v>
      </c>
      <c r="AH95" s="56" t="e">
        <f t="shared" si="445"/>
        <v>#DIV/0!</v>
      </c>
      <c r="AI95" s="56">
        <f t="shared" si="445"/>
        <v>0</v>
      </c>
      <c r="AJ95" s="56">
        <f t="shared" si="445"/>
        <v>0</v>
      </c>
      <c r="AK95" s="56">
        <f t="shared" si="445"/>
        <v>-1759</v>
      </c>
      <c r="AL95" s="56">
        <f t="shared" si="445"/>
        <v>0</v>
      </c>
      <c r="AM95" s="56">
        <f t="shared" si="445"/>
        <v>0</v>
      </c>
      <c r="AN95" s="56">
        <f t="shared" si="445"/>
        <v>0</v>
      </c>
      <c r="AO95" s="56">
        <f t="shared" si="445"/>
        <v>-11772</v>
      </c>
      <c r="AP95" s="56">
        <f t="shared" si="445"/>
        <v>0</v>
      </c>
      <c r="AQ95" s="56">
        <f t="shared" si="445"/>
        <v>-2.1341789908080472E-3</v>
      </c>
      <c r="AR95" s="56">
        <f t="shared" si="445"/>
        <v>0</v>
      </c>
      <c r="AS95" s="56">
        <f t="shared" si="445"/>
        <v>0</v>
      </c>
      <c r="AT95" s="56">
        <f t="shared" si="445"/>
        <v>0</v>
      </c>
      <c r="AU95" s="56">
        <f t="shared" si="445"/>
        <v>-2.2319783084623346E-3</v>
      </c>
      <c r="AV95" s="56">
        <f t="shared" si="445"/>
        <v>0</v>
      </c>
      <c r="AW95" s="56">
        <f t="shared" si="445"/>
        <v>-27.785802469135888</v>
      </c>
      <c r="AX95" s="56">
        <f t="shared" si="445"/>
        <v>0</v>
      </c>
      <c r="AY95" s="56">
        <f t="shared" si="445"/>
        <v>0</v>
      </c>
      <c r="AZ95" s="56">
        <f t="shared" si="445"/>
        <v>39862</v>
      </c>
      <c r="BA95" s="56">
        <f t="shared" si="445"/>
        <v>0</v>
      </c>
      <c r="BB95" s="56">
        <f t="shared" si="445"/>
        <v>-433387</v>
      </c>
      <c r="BC95" s="56">
        <f t="shared" si="445"/>
        <v>0</v>
      </c>
      <c r="BD95" s="56">
        <f t="shared" si="445"/>
        <v>-139</v>
      </c>
      <c r="BE95" s="56">
        <f t="shared" si="445"/>
        <v>0</v>
      </c>
      <c r="BF95" s="56">
        <f t="shared" si="445"/>
        <v>-3.9949920203292549E-3</v>
      </c>
      <c r="BG95" s="56">
        <f t="shared" si="445"/>
        <v>0</v>
      </c>
      <c r="BH95" s="56">
        <f t="shared" si="445"/>
        <v>0</v>
      </c>
      <c r="BI95" s="56">
        <f t="shared" si="445"/>
        <v>0</v>
      </c>
      <c r="BJ95" s="56">
        <f t="shared" si="445"/>
        <v>44099</v>
      </c>
      <c r="BK95" s="56">
        <f t="shared" si="445"/>
        <v>0</v>
      </c>
      <c r="BL95" s="56">
        <f t="shared" si="445"/>
        <v>3.4499043852613542E-4</v>
      </c>
      <c r="BM95" s="56">
        <f t="shared" si="445"/>
        <v>-2064.7041666666628</v>
      </c>
      <c r="BN95" s="56">
        <f t="shared" si="445"/>
        <v>0</v>
      </c>
      <c r="BO95" s="56">
        <f t="shared" si="445"/>
        <v>-19044</v>
      </c>
      <c r="BP95" s="10"/>
      <c r="BQ95" s="10"/>
      <c r="BR95" s="10"/>
      <c r="BS95" s="10"/>
      <c r="BT95" s="10"/>
      <c r="BU95" s="10"/>
      <c r="BV95" s="62"/>
      <c r="BW95" s="10"/>
      <c r="BX95" s="10"/>
      <c r="BY95" s="10"/>
      <c r="BZ95" s="62"/>
      <c r="CA95" s="61"/>
      <c r="CB95" s="61"/>
      <c r="CC95" s="61"/>
      <c r="CD95" s="61"/>
      <c r="CE95" s="61"/>
      <c r="CF95" s="117"/>
    </row>
    <row r="96" spans="2:84" x14ac:dyDescent="0.3">
      <c r="N96" s="59"/>
      <c r="Z96" s="56"/>
      <c r="AB96" s="59"/>
      <c r="AD96" s="275"/>
      <c r="AZ96" s="59"/>
      <c r="BF96" s="59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61"/>
      <c r="CB96" s="117"/>
      <c r="CC96" s="117"/>
      <c r="CD96" s="117"/>
      <c r="CE96" s="117"/>
    </row>
    <row r="97" spans="2:71" x14ac:dyDescent="0.3">
      <c r="D97" s="56"/>
      <c r="H97" s="1"/>
      <c r="N97" s="59"/>
      <c r="V97" s="56"/>
      <c r="Z97" s="55">
        <v>0.42</v>
      </c>
      <c r="AZ97" s="59"/>
      <c r="BB97" s="56"/>
      <c r="BD97" s="59"/>
      <c r="BI97" s="61"/>
      <c r="BJ97" s="62">
        <f>+BJ95/BJ82</f>
        <v>1.5087872599357262E-2</v>
      </c>
      <c r="BK97" s="61"/>
      <c r="BL97" s="61"/>
      <c r="BM97" s="61"/>
      <c r="BN97" s="61"/>
      <c r="BO97" s="61"/>
      <c r="BP97" s="61"/>
      <c r="BQ97" s="61"/>
      <c r="BR97" s="10"/>
      <c r="BS97" s="10"/>
    </row>
    <row r="98" spans="2:71" x14ac:dyDescent="0.3">
      <c r="H98" s="56"/>
      <c r="V98" s="56">
        <f>+Z90-Z98</f>
        <v>65431.54</v>
      </c>
      <c r="Z98" s="1">
        <f>+Z97*Z90</f>
        <v>47381.46</v>
      </c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BG98" s="108"/>
      <c r="BH98" s="108"/>
      <c r="BI98" s="108"/>
      <c r="BJ98" s="108"/>
      <c r="BK98" s="108"/>
      <c r="BL98" s="108"/>
      <c r="BM98" s="108"/>
      <c r="BN98" s="108"/>
      <c r="BO98" s="108"/>
      <c r="BP98" s="108"/>
      <c r="BQ98" s="90"/>
      <c r="BR98" s="1"/>
      <c r="BS98" s="1"/>
    </row>
    <row r="99" spans="2:71" x14ac:dyDescent="0.3">
      <c r="D99" s="1"/>
      <c r="E99" s="123" t="s">
        <v>28</v>
      </c>
      <c r="F99" s="124"/>
      <c r="G99" s="124" t="s">
        <v>68</v>
      </c>
      <c r="H99" s="116"/>
      <c r="I99" s="116"/>
      <c r="J99" s="116"/>
      <c r="K99" s="61"/>
      <c r="L99" s="10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90"/>
      <c r="BR99" s="1"/>
      <c r="BS99" s="1"/>
    </row>
    <row r="100" spans="2:71" x14ac:dyDescent="0.3">
      <c r="D100" s="1"/>
      <c r="E100" s="123" t="s">
        <v>40</v>
      </c>
      <c r="F100" s="124"/>
      <c r="G100" s="124" t="s">
        <v>42</v>
      </c>
      <c r="H100" s="10"/>
      <c r="I100" s="10"/>
      <c r="J100" s="10"/>
      <c r="K100" s="61"/>
      <c r="L100" s="10"/>
      <c r="AC100" s="1"/>
      <c r="AD100" s="1"/>
      <c r="AE100" s="1"/>
      <c r="AF100" s="1"/>
      <c r="AG100" s="1"/>
      <c r="AH100" s="1"/>
      <c r="AI100" s="1"/>
      <c r="AJ100" s="1"/>
      <c r="AK100" s="1" t="s">
        <v>17</v>
      </c>
      <c r="AL100" s="1"/>
      <c r="AM100" s="1"/>
      <c r="AN100" s="1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90"/>
      <c r="BR100" s="1"/>
      <c r="BS100" s="1"/>
    </row>
    <row r="101" spans="2:71" x14ac:dyDescent="0.3">
      <c r="D101" s="1"/>
      <c r="E101" s="123" t="s">
        <v>47</v>
      </c>
      <c r="F101" s="124"/>
      <c r="G101" s="124" t="s">
        <v>58</v>
      </c>
      <c r="H101" s="10"/>
      <c r="I101" s="10"/>
      <c r="J101" s="10"/>
      <c r="K101" s="61"/>
      <c r="L101" s="10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90"/>
      <c r="BR101" s="1"/>
      <c r="BS101" s="1"/>
    </row>
    <row r="102" spans="2:71" x14ac:dyDescent="0.3">
      <c r="D102" s="1"/>
      <c r="E102" s="123" t="s">
        <v>69</v>
      </c>
      <c r="F102" s="61"/>
      <c r="G102" s="93" t="s">
        <v>70</v>
      </c>
      <c r="H102" s="61"/>
      <c r="I102" s="61"/>
      <c r="J102" s="61"/>
      <c r="K102" s="61"/>
      <c r="L102" s="6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90"/>
      <c r="BR102" s="1"/>
      <c r="BS102" s="1"/>
    </row>
    <row r="103" spans="2:71" x14ac:dyDescent="0.3">
      <c r="AC103" s="1"/>
      <c r="AD103" s="1"/>
      <c r="AE103" s="1"/>
      <c r="AF103" s="1"/>
      <c r="AG103" s="1"/>
      <c r="AH103" s="1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1"/>
      <c r="BS103" s="1"/>
    </row>
    <row r="104" spans="2:71" x14ac:dyDescent="0.3">
      <c r="AC104" s="1"/>
      <c r="AD104" s="1"/>
      <c r="AE104" s="1"/>
      <c r="AF104" s="1"/>
      <c r="AG104" s="1"/>
      <c r="AH104" s="1"/>
    </row>
    <row r="105" spans="2:71" x14ac:dyDescent="0.3">
      <c r="D105" s="56"/>
      <c r="AC105" s="1"/>
      <c r="AD105" s="1"/>
      <c r="AE105" s="1"/>
      <c r="AF105" s="1"/>
      <c r="AG105" s="1"/>
      <c r="AH105" s="1"/>
    </row>
    <row r="106" spans="2:71" x14ac:dyDescent="0.3">
      <c r="D106" s="1">
        <v>4900</v>
      </c>
      <c r="Z106" s="56"/>
      <c r="AC106" s="1"/>
      <c r="AD106" s="1"/>
      <c r="AE106" s="1"/>
      <c r="AF106" s="1"/>
      <c r="AG106" s="1"/>
      <c r="AH106" s="1"/>
    </row>
    <row r="107" spans="2:71" x14ac:dyDescent="0.3">
      <c r="D107" s="1">
        <v>1000000</v>
      </c>
      <c r="AC107" s="1"/>
      <c r="AD107" s="1"/>
      <c r="AE107" s="1"/>
      <c r="AF107" s="1"/>
      <c r="AG107" s="1"/>
      <c r="AH107" s="1"/>
    </row>
    <row r="108" spans="2:71" x14ac:dyDescent="0.3">
      <c r="AC108" s="1"/>
      <c r="AD108" s="1"/>
      <c r="AE108" s="1"/>
      <c r="AF108" s="1"/>
      <c r="AG108" s="1"/>
      <c r="AH108" s="1"/>
    </row>
    <row r="109" spans="2:71" x14ac:dyDescent="0.3">
      <c r="D109" s="279">
        <f>+D106/D107</f>
        <v>4.8999999999999998E-3</v>
      </c>
      <c r="AC109" s="1"/>
      <c r="AD109" s="1"/>
      <c r="AE109" s="1"/>
      <c r="AF109" s="1"/>
      <c r="AG109" s="1"/>
      <c r="AH109" s="1"/>
    </row>
    <row r="110" spans="2:71" x14ac:dyDescent="0.3">
      <c r="AC110" s="1"/>
      <c r="AD110" s="1"/>
      <c r="AE110" s="1"/>
      <c r="AF110" s="1"/>
      <c r="AG110" s="1"/>
      <c r="AH110" s="1"/>
    </row>
    <row r="111" spans="2:71" x14ac:dyDescent="0.3">
      <c r="D111" s="475"/>
      <c r="AC111" s="1"/>
      <c r="AD111" s="1"/>
      <c r="AE111" s="1"/>
      <c r="AF111" s="1"/>
      <c r="AG111" s="1"/>
      <c r="AH111" s="1"/>
    </row>
    <row r="112" spans="2:71" x14ac:dyDescent="0.3">
      <c r="B112" s="474"/>
      <c r="AC112" s="1"/>
      <c r="AD112" s="1"/>
      <c r="AE112" s="1"/>
      <c r="AF112" s="1"/>
      <c r="AG112" s="1"/>
      <c r="AH112" s="1"/>
    </row>
    <row r="113" spans="4:86" x14ac:dyDescent="0.3">
      <c r="D113" s="474"/>
      <c r="AC113" s="1"/>
      <c r="AD113" s="1"/>
      <c r="AE113" s="1"/>
      <c r="AF113" s="1"/>
      <c r="AG113" s="1"/>
      <c r="AH113" s="1"/>
      <c r="BC113" s="90"/>
      <c r="BD113" s="90"/>
      <c r="BE113" s="90"/>
      <c r="BF113" s="90"/>
      <c r="BG113" s="90"/>
      <c r="BH113" s="90"/>
      <c r="BI113" s="90"/>
      <c r="BJ113" s="90"/>
      <c r="BK113" s="90"/>
      <c r="BL113" s="90"/>
      <c r="BM113" s="90"/>
      <c r="BN113" s="90"/>
      <c r="BO113" s="90"/>
      <c r="BP113" s="90"/>
      <c r="BQ113" s="90"/>
      <c r="BR113" s="1"/>
      <c r="BS113" s="1"/>
      <c r="BT113" s="1"/>
      <c r="BU113" s="1"/>
      <c r="BV113" s="90"/>
      <c r="BW113" s="90"/>
      <c r="BX113" s="90"/>
      <c r="BY113" s="90"/>
      <c r="BZ113" s="90"/>
      <c r="CA113" s="90"/>
      <c r="CB113" s="90"/>
      <c r="CC113" s="90"/>
      <c r="CD113" s="90"/>
      <c r="CE113" s="90"/>
      <c r="CF113" s="90"/>
      <c r="CG113" s="90"/>
      <c r="CH113" s="90"/>
    </row>
    <row r="114" spans="4:86" x14ac:dyDescent="0.3">
      <c r="AC114" s="10"/>
      <c r="AD114" s="10"/>
      <c r="AE114" s="10"/>
      <c r="AF114" s="10"/>
      <c r="AG114" s="10"/>
      <c r="AH114" s="10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89"/>
      <c r="BW114" s="89"/>
      <c r="BX114" s="89"/>
      <c r="BY114" s="89"/>
      <c r="BZ114" s="121"/>
      <c r="CA114" s="1"/>
      <c r="CB114" s="1"/>
      <c r="CC114" s="1"/>
      <c r="CD114" s="1"/>
      <c r="CE114" s="1"/>
      <c r="CF114" s="1"/>
      <c r="CG114" s="1"/>
      <c r="CH114" s="1"/>
    </row>
    <row r="115" spans="4:86" x14ac:dyDescent="0.3">
      <c r="D115">
        <v>10</v>
      </c>
      <c r="AC115" s="10"/>
      <c r="AD115" s="10"/>
      <c r="AE115" s="10"/>
      <c r="AF115" s="10"/>
      <c r="AG115" s="10"/>
      <c r="AH115" s="10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89"/>
      <c r="BW115" s="89"/>
      <c r="BX115" s="89"/>
      <c r="BY115" s="89"/>
      <c r="BZ115" s="89"/>
      <c r="CA115" s="1"/>
      <c r="CB115" s="1"/>
      <c r="CC115" s="1"/>
      <c r="CD115" s="1"/>
      <c r="CE115" s="1"/>
      <c r="CF115" s="1"/>
      <c r="CG115" s="1"/>
      <c r="CH115" s="1"/>
    </row>
    <row r="116" spans="4:86" x14ac:dyDescent="0.3">
      <c r="D116" s="1">
        <v>1000000</v>
      </c>
      <c r="AC116" s="10"/>
      <c r="AD116" s="10"/>
      <c r="AE116" s="10"/>
      <c r="AF116" s="10"/>
      <c r="AG116" s="10"/>
      <c r="AH116" s="10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89"/>
      <c r="BW116" s="89"/>
      <c r="BX116" s="89"/>
      <c r="BY116" s="89"/>
      <c r="BZ116" s="89"/>
      <c r="CA116" s="1"/>
      <c r="CB116" s="1"/>
      <c r="CC116" s="1"/>
      <c r="CD116" s="1"/>
      <c r="CE116" s="1"/>
      <c r="CF116" s="1"/>
    </row>
    <row r="117" spans="4:86" x14ac:dyDescent="0.3">
      <c r="D117" s="57">
        <f>+D115/D116</f>
        <v>1.0000000000000001E-5</v>
      </c>
      <c r="AC117" s="10"/>
      <c r="AD117" s="10"/>
      <c r="AE117" s="10"/>
      <c r="AF117" s="10"/>
      <c r="AG117" s="10"/>
      <c r="AH117" s="10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89"/>
      <c r="BW117" s="89"/>
      <c r="BX117" s="89"/>
      <c r="BY117" s="89"/>
      <c r="BZ117" s="89"/>
      <c r="CA117" s="1"/>
      <c r="CB117" s="1"/>
      <c r="CC117" s="1"/>
      <c r="CD117" s="1"/>
      <c r="CE117" s="1"/>
      <c r="CF117" s="1"/>
    </row>
    <row r="118" spans="4:86" x14ac:dyDescent="0.3">
      <c r="AC118" s="10"/>
      <c r="AD118" s="10"/>
      <c r="AE118" s="10"/>
      <c r="AF118" s="10"/>
      <c r="AG118" s="10"/>
      <c r="AH118" s="10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89"/>
      <c r="BW118" s="89"/>
      <c r="BX118" s="122"/>
      <c r="BY118" s="89"/>
      <c r="BZ118" s="89"/>
    </row>
    <row r="119" spans="4:86" x14ac:dyDescent="0.3">
      <c r="D119" s="1">
        <v>330000000</v>
      </c>
      <c r="AC119" s="10"/>
      <c r="AD119" s="10"/>
      <c r="AE119" s="10"/>
      <c r="AF119" s="10"/>
      <c r="AG119" s="10"/>
      <c r="AH119" s="10"/>
      <c r="AI119" s="90"/>
      <c r="AJ119" s="90"/>
      <c r="AK119" s="155"/>
      <c r="AL119" s="155"/>
      <c r="AM119" s="155"/>
      <c r="AN119" s="155"/>
      <c r="AO119" s="155"/>
      <c r="AP119" s="155"/>
      <c r="AQ119" s="155"/>
      <c r="AR119" s="155"/>
      <c r="AS119" s="155"/>
      <c r="AT119" s="155"/>
      <c r="AU119" s="155"/>
      <c r="AV119" s="155"/>
      <c r="AW119" s="155"/>
      <c r="AX119" s="155"/>
      <c r="AY119" s="155"/>
      <c r="AZ119" s="155"/>
      <c r="BA119" s="90"/>
      <c r="BB119" s="90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89"/>
      <c r="BW119" s="89"/>
      <c r="BX119" s="89"/>
      <c r="BY119" s="89"/>
      <c r="BZ119" s="89"/>
    </row>
    <row r="120" spans="4:86" x14ac:dyDescent="0.3">
      <c r="AC120" s="10"/>
      <c r="AD120" s="10"/>
      <c r="AE120" s="10"/>
      <c r="AF120" s="10"/>
      <c r="AG120" s="10"/>
      <c r="AH120" s="10"/>
      <c r="AI120" s="90"/>
      <c r="AJ120" s="90"/>
      <c r="AK120" s="151"/>
      <c r="AL120" s="151"/>
      <c r="AM120" s="151"/>
      <c r="AN120" s="151"/>
      <c r="AO120" s="151"/>
      <c r="AP120" s="151"/>
      <c r="AQ120" s="151"/>
      <c r="AR120" s="90"/>
      <c r="AS120" s="90"/>
      <c r="AT120" s="90"/>
      <c r="AU120" s="110"/>
      <c r="AV120" s="110"/>
      <c r="AW120" s="110"/>
      <c r="AX120" s="110"/>
      <c r="AY120" s="90"/>
      <c r="AZ120" s="90"/>
      <c r="BA120" s="110"/>
      <c r="BB120" s="90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89"/>
      <c r="BW120" s="89"/>
      <c r="BX120" s="89"/>
      <c r="BY120" s="89"/>
      <c r="BZ120" s="89"/>
    </row>
    <row r="121" spans="4:86" x14ac:dyDescent="0.3">
      <c r="D121" s="472">
        <f>+H72/D119</f>
        <v>4.9118121212121208E-3</v>
      </c>
      <c r="AC121" s="10"/>
      <c r="AD121" s="10"/>
      <c r="AE121" s="10"/>
      <c r="AF121" s="10"/>
      <c r="AG121" s="10"/>
      <c r="AH121" s="10"/>
      <c r="AI121" s="90"/>
      <c r="AJ121" s="90"/>
      <c r="AK121" s="151"/>
      <c r="AL121" s="151"/>
      <c r="AM121" s="151"/>
      <c r="AN121" s="151"/>
      <c r="AO121" s="151"/>
      <c r="AP121" s="151"/>
      <c r="AQ121" s="151"/>
      <c r="AR121" s="151"/>
      <c r="AS121" s="110"/>
      <c r="AT121" s="90"/>
      <c r="AU121" s="110"/>
      <c r="AV121" s="110"/>
      <c r="AW121" s="110"/>
      <c r="AX121" s="110"/>
      <c r="AY121" s="90"/>
      <c r="AZ121" s="90"/>
      <c r="BA121" s="110"/>
      <c r="BB121" s="90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89"/>
      <c r="BW121" s="89"/>
      <c r="BX121" s="89"/>
      <c r="BY121" s="89"/>
      <c r="BZ121" s="89"/>
    </row>
    <row r="122" spans="4:86" x14ac:dyDescent="0.3">
      <c r="D122">
        <v>150000</v>
      </c>
      <c r="AC122" s="10"/>
      <c r="AD122" s="10"/>
      <c r="AE122" s="10"/>
      <c r="AF122" s="10"/>
      <c r="AG122" s="10"/>
      <c r="AH122" s="10"/>
      <c r="AI122" s="90"/>
      <c r="AJ122" s="90"/>
      <c r="AK122" s="90"/>
      <c r="AL122" s="90"/>
      <c r="AM122" s="152"/>
      <c r="AN122" s="152"/>
      <c r="AO122" s="152"/>
      <c r="AP122" s="152"/>
      <c r="AQ122" s="152"/>
      <c r="AR122" s="90"/>
      <c r="AS122" s="90"/>
      <c r="AT122" s="90"/>
      <c r="AU122" s="110"/>
      <c r="AV122" s="110"/>
      <c r="AW122" s="110"/>
      <c r="AX122" s="110"/>
      <c r="AY122" s="90"/>
      <c r="AZ122" s="90"/>
      <c r="BA122" s="110"/>
      <c r="BB122" s="90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89"/>
      <c r="BW122" s="89"/>
      <c r="BX122" s="89"/>
      <c r="BY122" s="89"/>
      <c r="BZ122" s="89"/>
    </row>
    <row r="123" spans="4:86" x14ac:dyDescent="0.3">
      <c r="D123" s="279">
        <f>+D122/D119</f>
        <v>4.5454545454545455E-4</v>
      </c>
      <c r="AC123" s="10"/>
      <c r="AD123" s="10"/>
      <c r="AE123" s="10"/>
      <c r="AF123" s="10"/>
      <c r="AG123" s="10"/>
      <c r="AH123" s="10"/>
      <c r="AI123" s="90"/>
      <c r="AJ123" s="90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110"/>
      <c r="AV123" s="110"/>
      <c r="AW123" s="110"/>
      <c r="AX123" s="110"/>
      <c r="AY123" s="90"/>
      <c r="AZ123" s="90"/>
      <c r="BA123" s="110"/>
      <c r="BB123" s="90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</row>
    <row r="124" spans="4:86" x14ac:dyDescent="0.3">
      <c r="D124">
        <v>28.59</v>
      </c>
      <c r="AC124" s="10"/>
      <c r="AD124" s="10"/>
      <c r="AE124" s="10"/>
      <c r="AF124" s="10"/>
      <c r="AG124" s="10"/>
      <c r="AH124" s="10"/>
      <c r="AI124" s="90"/>
      <c r="AJ124" s="90"/>
      <c r="AK124" s="90"/>
      <c r="AL124" s="90"/>
      <c r="AM124" s="152"/>
      <c r="AN124" s="152"/>
      <c r="AO124" s="152"/>
      <c r="AP124" s="152"/>
      <c r="AQ124" s="152"/>
      <c r="AR124" s="152"/>
      <c r="AS124" s="152"/>
      <c r="AT124" s="90"/>
      <c r="AU124" s="110"/>
      <c r="AV124" s="110"/>
      <c r="AW124" s="110"/>
      <c r="AX124" s="110"/>
      <c r="AY124" s="90"/>
      <c r="AZ124" s="90"/>
      <c r="BA124" s="110"/>
      <c r="BB124" s="90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</row>
    <row r="125" spans="4:86" x14ac:dyDescent="0.3">
      <c r="AC125" s="10"/>
      <c r="AD125" s="10"/>
      <c r="AE125" s="10"/>
      <c r="AF125" s="10"/>
      <c r="AG125" s="10"/>
      <c r="AH125" s="10"/>
      <c r="AI125" s="90"/>
      <c r="AJ125" s="90"/>
      <c r="AK125" s="90"/>
      <c r="AL125" s="90"/>
      <c r="AM125" s="152"/>
      <c r="AN125" s="152"/>
      <c r="AO125" s="152"/>
      <c r="AP125" s="152"/>
      <c r="AQ125" s="152"/>
      <c r="AR125" s="152"/>
      <c r="AS125" s="152"/>
      <c r="AT125" s="90"/>
      <c r="AU125" s="110"/>
      <c r="AV125" s="110"/>
      <c r="AW125" s="110"/>
      <c r="AX125" s="110"/>
      <c r="AY125" s="90"/>
      <c r="AZ125" s="90"/>
      <c r="BA125" s="110"/>
      <c r="BB125" s="90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</row>
    <row r="126" spans="4:86" x14ac:dyDescent="0.3">
      <c r="D126">
        <f>+D119/100000</f>
        <v>3300</v>
      </c>
      <c r="AC126" s="10"/>
      <c r="AD126" s="10"/>
      <c r="AE126" s="10"/>
      <c r="AF126" s="10"/>
      <c r="AG126" s="10"/>
      <c r="AH126" s="10"/>
      <c r="AI126" s="90"/>
      <c r="AJ126" s="90"/>
      <c r="AK126" s="90"/>
      <c r="AL126" s="90"/>
      <c r="AM126" s="152"/>
      <c r="AN126" s="152"/>
      <c r="AO126" s="152"/>
      <c r="AP126" s="152"/>
      <c r="AQ126" s="152"/>
      <c r="AR126" s="152"/>
      <c r="AS126" s="152"/>
      <c r="AT126" s="90"/>
      <c r="AU126" s="110"/>
      <c r="AV126" s="110"/>
      <c r="AW126" s="110"/>
      <c r="AX126" s="110"/>
      <c r="AY126" s="90"/>
      <c r="AZ126" s="90"/>
      <c r="BA126" s="110"/>
      <c r="BB126" s="90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</row>
    <row r="127" spans="4:86" x14ac:dyDescent="0.3">
      <c r="D127">
        <f>+D126*D124</f>
        <v>94347</v>
      </c>
      <c r="AC127" s="10"/>
      <c r="AD127" s="10"/>
      <c r="AE127" s="10"/>
      <c r="AF127" s="10"/>
      <c r="AG127" s="10"/>
      <c r="AH127" s="10"/>
      <c r="AI127" s="90"/>
      <c r="AJ127" s="90"/>
      <c r="AK127" s="90"/>
      <c r="AL127" s="90"/>
      <c r="AM127" s="152"/>
      <c r="AN127" s="152"/>
      <c r="AO127" s="152"/>
      <c r="AP127" s="152"/>
      <c r="AQ127" s="152"/>
      <c r="AR127" s="152"/>
      <c r="AS127" s="152"/>
      <c r="AT127" s="90"/>
      <c r="AU127" s="110"/>
      <c r="AV127" s="110"/>
      <c r="AW127" s="110"/>
      <c r="AX127" s="110"/>
      <c r="AY127" s="90"/>
      <c r="AZ127" s="90"/>
      <c r="BA127" s="110"/>
      <c r="BB127" s="90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</row>
    <row r="128" spans="4:86" x14ac:dyDescent="0.3">
      <c r="AC128" s="10"/>
      <c r="AD128" s="10"/>
      <c r="AE128" s="10"/>
      <c r="AF128" s="10"/>
      <c r="AG128" s="10"/>
      <c r="AH128" s="10"/>
      <c r="AI128" s="90"/>
      <c r="AJ128" s="90"/>
      <c r="AK128" s="90"/>
      <c r="AL128" s="90"/>
      <c r="AM128" s="152"/>
      <c r="AN128" s="152"/>
      <c r="AO128" s="152"/>
      <c r="AP128" s="152"/>
      <c r="AQ128" s="152"/>
      <c r="AR128" s="152"/>
      <c r="AS128" s="152"/>
      <c r="AT128" s="90"/>
      <c r="AU128" s="110"/>
      <c r="AV128" s="110"/>
      <c r="AW128" s="110"/>
      <c r="AX128" s="110"/>
      <c r="AY128" s="90"/>
      <c r="AZ128" s="90"/>
      <c r="BA128" s="110"/>
      <c r="BB128" s="90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</row>
    <row r="129" spans="2:78" x14ac:dyDescent="0.3">
      <c r="AC129" s="10"/>
      <c r="AD129" s="10"/>
      <c r="AE129" s="10"/>
      <c r="AF129" s="10"/>
      <c r="AG129" s="10"/>
      <c r="AH129" s="10"/>
      <c r="AI129" s="90"/>
      <c r="AJ129" s="90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90"/>
      <c r="AV129" s="90"/>
      <c r="AW129" s="90"/>
      <c r="AX129" s="90"/>
      <c r="AY129" s="90"/>
      <c r="AZ129" s="110"/>
      <c r="BA129" s="110"/>
      <c r="BB129" s="90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</row>
    <row r="130" spans="2:78" x14ac:dyDescent="0.3">
      <c r="AC130" s="10"/>
      <c r="AD130" s="10"/>
      <c r="AE130" s="10"/>
      <c r="AF130" s="10"/>
      <c r="AG130" s="10"/>
      <c r="AH130" s="10"/>
      <c r="AI130" s="90"/>
      <c r="AJ130" s="90"/>
      <c r="AK130" s="151"/>
      <c r="AL130" s="151"/>
      <c r="AM130" s="151"/>
      <c r="AN130" s="151"/>
      <c r="AO130" s="151"/>
      <c r="AP130" s="151"/>
      <c r="AQ130" s="151"/>
      <c r="AR130" s="151"/>
      <c r="AS130" s="151"/>
      <c r="AT130" s="151"/>
      <c r="AU130" s="151"/>
      <c r="AV130" s="151"/>
      <c r="AW130" s="151"/>
      <c r="AX130" s="151"/>
      <c r="AY130" s="90"/>
      <c r="AZ130" s="90"/>
      <c r="BA130" s="110"/>
      <c r="BB130" s="90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</row>
    <row r="131" spans="2:78" x14ac:dyDescent="0.3">
      <c r="AI131" s="110"/>
      <c r="AJ131" s="110"/>
      <c r="AK131" s="110"/>
      <c r="AL131" s="110"/>
      <c r="AM131" s="110"/>
      <c r="AN131" s="110"/>
      <c r="AO131" s="110"/>
      <c r="AP131" s="110"/>
      <c r="AQ131" s="110"/>
      <c r="AR131" s="110"/>
      <c r="AS131" s="90"/>
      <c r="AT131" s="110"/>
      <c r="AU131" s="153"/>
      <c r="AV131" s="153"/>
      <c r="AW131" s="153"/>
      <c r="AX131" s="153"/>
      <c r="AY131" s="110"/>
      <c r="AZ131" s="110"/>
      <c r="BA131" s="110"/>
      <c r="BB131" s="110"/>
    </row>
    <row r="132" spans="2:78" x14ac:dyDescent="0.3">
      <c r="B132" s="125"/>
      <c r="D132" s="55"/>
      <c r="AI132" s="110"/>
      <c r="AJ132" s="110"/>
      <c r="AK132" s="110"/>
      <c r="AL132" s="110"/>
      <c r="AM132" s="110"/>
      <c r="AN132" s="110"/>
      <c r="AO132" s="110"/>
      <c r="AP132" s="110"/>
      <c r="AQ132" s="110"/>
      <c r="AR132" s="110"/>
      <c r="AS132" s="110"/>
      <c r="AT132" s="110"/>
      <c r="AU132" s="90"/>
      <c r="AV132" s="90"/>
      <c r="AW132" s="90"/>
      <c r="AX132" s="90"/>
      <c r="AY132" s="110"/>
      <c r="AZ132" s="154"/>
      <c r="BA132" s="110"/>
      <c r="BB132" s="110"/>
    </row>
    <row r="133" spans="2:78" x14ac:dyDescent="0.3">
      <c r="B133" s="1"/>
      <c r="D133" s="55"/>
      <c r="W133" s="61"/>
      <c r="X133" s="61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  <c r="AK133" s="110"/>
      <c r="AL133" s="110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110"/>
    </row>
    <row r="134" spans="2:78" x14ac:dyDescent="0.3">
      <c r="B134" s="1"/>
      <c r="D134" s="55"/>
      <c r="W134" s="61"/>
      <c r="X134" s="61"/>
      <c r="Y134" s="110"/>
      <c r="Z134" s="110"/>
      <c r="AA134" s="110"/>
      <c r="AB134" s="110"/>
      <c r="AC134" s="110"/>
      <c r="AD134" s="110"/>
      <c r="AE134" s="110"/>
      <c r="AF134" s="110"/>
      <c r="AG134" s="110"/>
      <c r="AH134" s="110"/>
      <c r="AI134" s="110"/>
      <c r="AJ134" s="110"/>
      <c r="AK134" s="110"/>
      <c r="AL134" s="110"/>
      <c r="AM134" s="110"/>
      <c r="AN134" s="110"/>
      <c r="AO134" s="110"/>
      <c r="AP134" s="110"/>
      <c r="AQ134" s="110"/>
      <c r="AR134" s="110"/>
      <c r="AS134" s="110"/>
      <c r="AT134" s="110"/>
      <c r="AU134" s="110"/>
      <c r="AV134" s="110"/>
      <c r="AW134" s="110"/>
      <c r="AX134" s="110"/>
      <c r="AY134" s="110"/>
      <c r="AZ134" s="110"/>
      <c r="BA134" s="110"/>
      <c r="BB134" s="110"/>
    </row>
    <row r="135" spans="2:78" x14ac:dyDescent="0.3">
      <c r="B135" s="1"/>
      <c r="D135" s="55"/>
      <c r="W135" s="61"/>
      <c r="X135" s="61"/>
      <c r="Y135" s="110"/>
      <c r="Z135" s="110"/>
      <c r="AA135" s="110"/>
      <c r="AB135" s="110"/>
      <c r="AC135" s="110"/>
      <c r="AD135" s="110"/>
      <c r="AE135" s="110"/>
      <c r="AF135" s="110"/>
      <c r="AG135" s="110"/>
      <c r="AH135" s="110"/>
      <c r="AI135" s="110"/>
      <c r="AJ135" s="110"/>
      <c r="AK135" s="110"/>
      <c r="AL135" s="110"/>
      <c r="AM135" s="110"/>
      <c r="AN135" s="110"/>
      <c r="AO135" s="110"/>
      <c r="AP135" s="110"/>
      <c r="AQ135" s="110"/>
    </row>
    <row r="136" spans="2:78" x14ac:dyDescent="0.3">
      <c r="B136" s="1"/>
      <c r="D136" s="55"/>
      <c r="W136" s="61"/>
      <c r="X136" s="61"/>
      <c r="Y136" s="110"/>
      <c r="Z136" s="110"/>
      <c r="AA136" s="110"/>
      <c r="AB136" s="110"/>
      <c r="AC136" s="110"/>
      <c r="AD136" s="110"/>
      <c r="AE136" s="110"/>
      <c r="AF136" s="110"/>
      <c r="AG136" s="110"/>
      <c r="AH136" s="110"/>
      <c r="AI136" s="110"/>
      <c r="AJ136" s="110"/>
      <c r="AK136" s="110"/>
      <c r="AL136" s="110"/>
      <c r="AM136" s="110"/>
      <c r="AN136" s="110"/>
      <c r="AO136" s="110"/>
      <c r="AP136" s="110"/>
      <c r="AQ136" s="110"/>
    </row>
    <row r="137" spans="2:78" x14ac:dyDescent="0.3">
      <c r="B137" s="55"/>
      <c r="D137" s="55"/>
      <c r="W137" s="61"/>
      <c r="X137" s="61"/>
      <c r="Y137" s="110"/>
      <c r="Z137" s="110"/>
      <c r="AA137" s="110"/>
      <c r="AB137" s="110"/>
      <c r="AC137" s="110"/>
      <c r="AD137" s="110"/>
      <c r="AE137" s="110"/>
      <c r="AF137" s="110"/>
      <c r="AG137" s="110"/>
      <c r="AH137" s="110"/>
      <c r="AI137" s="110"/>
      <c r="AJ137" s="110"/>
      <c r="AK137" s="110"/>
      <c r="AL137" s="110"/>
      <c r="AM137" s="110"/>
      <c r="AN137" s="110"/>
      <c r="AO137" s="110"/>
      <c r="AP137" s="110"/>
      <c r="AQ137" s="110"/>
    </row>
    <row r="138" spans="2:78" x14ac:dyDescent="0.3">
      <c r="B138" s="57"/>
      <c r="D138" s="55"/>
      <c r="W138" s="61"/>
      <c r="X138" s="61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0"/>
      <c r="AK138" s="110"/>
      <c r="AL138" s="110"/>
      <c r="AM138" s="110"/>
      <c r="AN138" s="110"/>
      <c r="AO138" s="110"/>
      <c r="AP138" s="110"/>
      <c r="AQ138" s="110"/>
    </row>
    <row r="139" spans="2:78" x14ac:dyDescent="0.3">
      <c r="B139" s="1"/>
      <c r="D139" s="55"/>
      <c r="W139" s="61"/>
      <c r="X139" s="61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0"/>
      <c r="AK139" s="110"/>
      <c r="AL139" s="110"/>
      <c r="AM139" s="110"/>
      <c r="AN139" s="110"/>
      <c r="AO139" s="110"/>
      <c r="AP139" s="110"/>
      <c r="AQ139" s="110"/>
    </row>
    <row r="140" spans="2:78" x14ac:dyDescent="0.3">
      <c r="B140" s="1"/>
      <c r="D140" s="55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</row>
    <row r="141" spans="2:78" x14ac:dyDescent="0.3">
      <c r="B141" s="1"/>
      <c r="D141" s="55"/>
    </row>
    <row r="142" spans="2:78" x14ac:dyDescent="0.3">
      <c r="B142" s="1"/>
      <c r="D142" s="55"/>
    </row>
    <row r="143" spans="2:78" x14ac:dyDescent="0.3">
      <c r="B143" s="57" t="e">
        <f>+B142/B141</f>
        <v>#DIV/0!</v>
      </c>
      <c r="D143" s="55"/>
    </row>
    <row r="144" spans="2:78" x14ac:dyDescent="0.3">
      <c r="B144" s="1"/>
      <c r="D144" s="55"/>
    </row>
    <row r="145" spans="2:4" x14ac:dyDescent="0.3">
      <c r="B145" s="1"/>
      <c r="D145" s="55"/>
    </row>
    <row r="146" spans="2:4" x14ac:dyDescent="0.3">
      <c r="B146" s="1">
        <f>+B142*50</f>
        <v>0</v>
      </c>
      <c r="D146" s="55"/>
    </row>
    <row r="147" spans="2:4" x14ac:dyDescent="0.3">
      <c r="B147" s="1"/>
      <c r="D147" s="55"/>
    </row>
    <row r="148" spans="2:4" x14ac:dyDescent="0.3">
      <c r="B148" s="1"/>
      <c r="D148" s="55"/>
    </row>
    <row r="149" spans="2:4" x14ac:dyDescent="0.3">
      <c r="B149" s="1"/>
      <c r="D149" s="55"/>
    </row>
    <row r="150" spans="2:4" x14ac:dyDescent="0.3">
      <c r="B150" s="1"/>
      <c r="D150" s="55"/>
    </row>
    <row r="151" spans="2:4" x14ac:dyDescent="0.3">
      <c r="B151" s="1"/>
      <c r="D151" s="55"/>
    </row>
    <row r="152" spans="2:4" x14ac:dyDescent="0.3">
      <c r="B152" s="1"/>
      <c r="D152" s="55"/>
    </row>
    <row r="153" spans="2:4" x14ac:dyDescent="0.3">
      <c r="B153" s="1"/>
      <c r="D153" s="55"/>
    </row>
    <row r="154" spans="2:4" x14ac:dyDescent="0.3">
      <c r="B154" s="1"/>
      <c r="D154" s="55"/>
    </row>
    <row r="155" spans="2:4" x14ac:dyDescent="0.3">
      <c r="B155" s="1"/>
      <c r="D155" s="55"/>
    </row>
    <row r="156" spans="2:4" x14ac:dyDescent="0.3">
      <c r="B156" s="1"/>
    </row>
    <row r="157" spans="2:4" x14ac:dyDescent="0.3">
      <c r="B157" s="1"/>
    </row>
    <row r="158" spans="2:4" x14ac:dyDescent="0.3">
      <c r="B158" s="1"/>
    </row>
    <row r="159" spans="2:4" x14ac:dyDescent="0.3">
      <c r="B159" s="1"/>
    </row>
    <row r="160" spans="2:4" x14ac:dyDescent="0.3">
      <c r="B160" s="1"/>
    </row>
    <row r="161" spans="2:2" x14ac:dyDescent="0.3">
      <c r="B161" s="1"/>
    </row>
    <row r="162" spans="2:2" x14ac:dyDescent="0.3">
      <c r="B162" s="1"/>
    </row>
    <row r="163" spans="2:2" x14ac:dyDescent="0.3">
      <c r="B163" s="1"/>
    </row>
  </sheetData>
  <mergeCells count="19">
    <mergeCell ref="B1:D1"/>
    <mergeCell ref="B2:D2"/>
    <mergeCell ref="J4:AB4"/>
    <mergeCell ref="D7:J7"/>
    <mergeCell ref="B3:C3"/>
    <mergeCell ref="F6:L6"/>
    <mergeCell ref="X6:AI6"/>
    <mergeCell ref="V7:AI7"/>
    <mergeCell ref="P6:T6"/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11"/>
  <sheetViews>
    <sheetView topLeftCell="A71" workbookViewId="0">
      <selection activeCell="AF30" sqref="AF3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8" t="s">
        <v>5</v>
      </c>
      <c r="D1" s="168"/>
      <c r="E1" s="168"/>
    </row>
    <row r="2" spans="3:40" ht="15.6" x14ac:dyDescent="0.3">
      <c r="C2" s="168" t="s">
        <v>6</v>
      </c>
      <c r="D2" s="168"/>
      <c r="E2" s="168"/>
    </row>
    <row r="3" spans="3:40" x14ac:dyDescent="0.3">
      <c r="C3" s="169" t="s">
        <v>13</v>
      </c>
      <c r="D3" s="169"/>
    </row>
    <row r="4" spans="3:40" x14ac:dyDescent="0.3">
      <c r="D4" s="169"/>
      <c r="E4" s="169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80</v>
      </c>
      <c r="E7" s="514" t="s">
        <v>7</v>
      </c>
      <c r="F7" s="515"/>
      <c r="G7" s="519">
        <v>0.7</v>
      </c>
      <c r="H7" s="519"/>
      <c r="I7" s="519"/>
      <c r="J7" s="519"/>
      <c r="K7" s="519"/>
      <c r="L7" s="519"/>
      <c r="M7" s="519"/>
      <c r="N7" s="519"/>
      <c r="O7" s="519"/>
      <c r="P7" s="519"/>
      <c r="Q7" s="519"/>
      <c r="R7" s="519"/>
      <c r="S7" s="519"/>
      <c r="T7" s="519"/>
      <c r="U7" s="520"/>
    </row>
    <row r="8" spans="3:40" x14ac:dyDescent="0.3">
      <c r="E8" s="516" t="s">
        <v>125</v>
      </c>
      <c r="F8" s="517"/>
      <c r="G8" s="517"/>
      <c r="H8" s="517"/>
      <c r="I8" s="517"/>
      <c r="J8" s="517"/>
      <c r="K8" s="517"/>
      <c r="L8" s="517"/>
      <c r="M8" s="517"/>
      <c r="N8" s="517"/>
      <c r="O8" s="517"/>
      <c r="P8" s="517"/>
      <c r="Q8" s="517"/>
      <c r="R8" s="517"/>
      <c r="S8" s="517"/>
      <c r="T8" s="517"/>
      <c r="U8" s="518"/>
    </row>
    <row r="9" spans="3:40" x14ac:dyDescent="0.3">
      <c r="E9" s="534" t="s">
        <v>37</v>
      </c>
      <c r="F9" s="535"/>
      <c r="G9" s="535"/>
      <c r="H9" s="535"/>
      <c r="I9" s="535"/>
      <c r="J9" s="535"/>
      <c r="K9" s="535"/>
      <c r="L9" s="535"/>
      <c r="M9" s="535"/>
      <c r="N9" s="535"/>
      <c r="O9" s="535"/>
      <c r="P9" s="536"/>
      <c r="Q9" s="532" t="s">
        <v>118</v>
      </c>
      <c r="R9" s="5"/>
      <c r="S9" s="529" t="s">
        <v>4</v>
      </c>
      <c r="T9" s="530"/>
      <c r="U9" s="531"/>
      <c r="W9" s="58" t="s">
        <v>18</v>
      </c>
    </row>
    <row r="10" spans="3:40" x14ac:dyDescent="0.3">
      <c r="E10" s="284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4" t="s">
        <v>81</v>
      </c>
      <c r="N10" s="119"/>
      <c r="O10" s="120" t="s">
        <v>15</v>
      </c>
      <c r="P10" s="374"/>
      <c r="Q10" s="533"/>
      <c r="R10" s="6"/>
      <c r="S10" s="4" t="s">
        <v>4</v>
      </c>
      <c r="T10" s="6"/>
      <c r="U10" s="285" t="s">
        <v>82</v>
      </c>
    </row>
    <row r="11" spans="3:40" x14ac:dyDescent="0.3">
      <c r="C11" s="172">
        <v>43910</v>
      </c>
      <c r="E11" s="286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5"/>
      <c r="R11" s="6"/>
      <c r="S11" s="6"/>
      <c r="T11" s="6"/>
      <c r="U11" s="287"/>
      <c r="W11">
        <v>1</v>
      </c>
      <c r="AL11" s="110"/>
      <c r="AM11" s="110"/>
      <c r="AN11" s="110"/>
    </row>
    <row r="12" spans="3:40" ht="15" thickBot="1" x14ac:dyDescent="0.35">
      <c r="C12" s="172">
        <f>+C11+1</f>
        <v>43911</v>
      </c>
      <c r="E12" s="286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5"/>
      <c r="R12" s="6"/>
      <c r="S12" s="6"/>
      <c r="T12" s="6"/>
      <c r="U12" s="287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2">
        <f>+C12+1</f>
        <v>43912</v>
      </c>
      <c r="E13" s="286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5"/>
      <c r="R13" s="6"/>
      <c r="S13" s="6"/>
      <c r="T13" s="6"/>
      <c r="U13" s="287"/>
      <c r="W13">
        <f t="shared" si="0"/>
        <v>3</v>
      </c>
      <c r="Z13" s="1"/>
      <c r="AA13" s="1"/>
      <c r="AB13" s="1"/>
      <c r="AC13" s="204" t="s">
        <v>61</v>
      </c>
      <c r="AD13" s="205"/>
      <c r="AE13" s="205"/>
      <c r="AF13" s="205"/>
      <c r="AG13" s="205"/>
      <c r="AH13" s="205"/>
      <c r="AI13" s="205"/>
      <c r="AJ13" s="205"/>
      <c r="AK13" s="206"/>
      <c r="AL13" s="155"/>
      <c r="AM13" s="155"/>
      <c r="AN13" s="110"/>
    </row>
    <row r="14" spans="3:40" ht="15" thickBot="1" x14ac:dyDescent="0.35">
      <c r="C14" s="172">
        <f t="shared" ref="C14:C97" si="1">+C13+1</f>
        <v>43913</v>
      </c>
      <c r="E14" s="286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5"/>
      <c r="R14" s="6"/>
      <c r="S14" s="6"/>
      <c r="T14" s="6"/>
      <c r="U14" s="287"/>
      <c r="W14">
        <f t="shared" si="0"/>
        <v>4</v>
      </c>
      <c r="Z14" s="1"/>
      <c r="AA14" s="1"/>
      <c r="AB14" s="1"/>
      <c r="AC14" s="207"/>
      <c r="AD14" s="526" t="s">
        <v>48</v>
      </c>
      <c r="AE14" s="527"/>
      <c r="AF14" s="528"/>
      <c r="AG14" s="208"/>
      <c r="AH14" s="524" t="s">
        <v>32</v>
      </c>
      <c r="AI14" s="209"/>
      <c r="AJ14" s="209"/>
      <c r="AK14" s="210"/>
      <c r="AL14" s="110"/>
      <c r="AM14" s="110"/>
      <c r="AN14" s="110"/>
    </row>
    <row r="15" spans="3:40" ht="15" thickBot="1" x14ac:dyDescent="0.35">
      <c r="C15" s="172">
        <f t="shared" si="1"/>
        <v>43914</v>
      </c>
      <c r="E15" s="286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5"/>
      <c r="R15" s="6"/>
      <c r="S15" s="6"/>
      <c r="T15" s="6"/>
      <c r="U15" s="287"/>
      <c r="W15">
        <f t="shared" si="0"/>
        <v>5</v>
      </c>
      <c r="Z15" s="1"/>
      <c r="AA15" s="1"/>
      <c r="AB15" s="1"/>
      <c r="AC15" s="191"/>
      <c r="AD15" s="170"/>
      <c r="AE15" s="170"/>
      <c r="AF15" s="211" t="s">
        <v>20</v>
      </c>
      <c r="AG15" s="212"/>
      <c r="AH15" s="525"/>
      <c r="AI15" s="213"/>
      <c r="AJ15" s="214" t="s">
        <v>4</v>
      </c>
      <c r="AK15" s="215"/>
      <c r="AL15" s="110"/>
      <c r="AM15" s="110"/>
      <c r="AN15" s="110"/>
    </row>
    <row r="16" spans="3:40" x14ac:dyDescent="0.3">
      <c r="C16" s="172">
        <f t="shared" si="1"/>
        <v>43915</v>
      </c>
      <c r="E16" s="286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5"/>
      <c r="R16" s="6"/>
      <c r="S16" s="6"/>
      <c r="T16" s="6"/>
      <c r="U16" s="287"/>
      <c r="W16">
        <f t="shared" si="0"/>
        <v>6</v>
      </c>
      <c r="Z16" s="1"/>
      <c r="AA16" s="1"/>
      <c r="AB16" s="1"/>
      <c r="AC16" s="191"/>
      <c r="AD16" s="203" t="s">
        <v>39</v>
      </c>
      <c r="AE16" s="170"/>
      <c r="AF16" s="203">
        <f>+K99</f>
        <v>587389</v>
      </c>
      <c r="AG16" s="202"/>
      <c r="AH16" s="216">
        <f>+AJ31</f>
        <v>1812.4975810944768</v>
      </c>
      <c r="AI16" s="216"/>
      <c r="AJ16" s="217">
        <f>+S99</f>
        <v>46715</v>
      </c>
      <c r="AK16" s="218"/>
      <c r="AL16" s="110"/>
      <c r="AM16" s="110"/>
      <c r="AN16" s="110"/>
    </row>
    <row r="17" spans="3:41" x14ac:dyDescent="0.3">
      <c r="C17" s="172">
        <f t="shared" si="1"/>
        <v>43916</v>
      </c>
      <c r="E17" s="286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5"/>
      <c r="R17" s="6"/>
      <c r="S17" s="6"/>
      <c r="T17" s="6"/>
      <c r="U17" s="287"/>
      <c r="W17">
        <f t="shared" si="0"/>
        <v>7</v>
      </c>
      <c r="Z17" s="61"/>
      <c r="AA17" s="61"/>
      <c r="AB17" s="10"/>
      <c r="AC17" s="191"/>
      <c r="AD17" s="219" t="s">
        <v>59</v>
      </c>
      <c r="AE17" s="170"/>
      <c r="AF17" s="163">
        <v>103626</v>
      </c>
      <c r="AG17" s="203"/>
      <c r="AH17" s="164">
        <v>1503</v>
      </c>
      <c r="AI17" s="216"/>
      <c r="AJ17" s="163">
        <v>7353</v>
      </c>
      <c r="AK17" s="220"/>
      <c r="AL17" s="110"/>
      <c r="AM17" s="90"/>
      <c r="AN17" s="90"/>
    </row>
    <row r="18" spans="3:41" x14ac:dyDescent="0.3">
      <c r="C18" s="172">
        <f t="shared" si="1"/>
        <v>43917</v>
      </c>
      <c r="E18" s="286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6"/>
      <c r="R18" s="44"/>
      <c r="S18" s="6"/>
      <c r="T18" s="6"/>
      <c r="U18" s="288"/>
      <c r="W18">
        <f t="shared" si="0"/>
        <v>8</v>
      </c>
      <c r="Z18" s="1"/>
      <c r="AA18" s="1"/>
      <c r="AB18" s="1"/>
      <c r="AC18" s="191"/>
      <c r="AD18" s="203" t="s">
        <v>92</v>
      </c>
      <c r="AE18" s="170"/>
      <c r="AF18" s="163">
        <v>80339</v>
      </c>
      <c r="AG18" s="203"/>
      <c r="AH18" s="164">
        <v>628</v>
      </c>
      <c r="AI18" s="216"/>
      <c r="AJ18" s="163">
        <v>5953</v>
      </c>
      <c r="AK18" s="220"/>
      <c r="AL18" s="110"/>
      <c r="AM18" s="90"/>
      <c r="AN18" s="90"/>
    </row>
    <row r="19" spans="3:41" ht="15" thickBot="1" x14ac:dyDescent="0.35">
      <c r="C19" s="172">
        <f t="shared" si="1"/>
        <v>43918</v>
      </c>
      <c r="E19" s="286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8">
        <f>+K19-K18</f>
        <v>9747</v>
      </c>
      <c r="R19" s="44"/>
      <c r="S19" s="7">
        <f>728+140</f>
        <v>868</v>
      </c>
      <c r="T19" s="6"/>
      <c r="U19" s="288">
        <f>+S19/K19</f>
        <v>1.3681788089908893E-2</v>
      </c>
      <c r="W19">
        <f t="shared" si="0"/>
        <v>9</v>
      </c>
      <c r="Z19" s="1"/>
      <c r="AA19" s="1"/>
      <c r="AB19" s="10"/>
      <c r="AC19" s="191"/>
      <c r="AD19" s="170"/>
      <c r="AE19" s="170"/>
      <c r="AF19" s="221">
        <f>SUM(AF16:AF18)</f>
        <v>771354</v>
      </c>
      <c r="AG19" s="203"/>
      <c r="AH19" s="203"/>
      <c r="AI19" s="203"/>
      <c r="AJ19" s="221">
        <f>SUM(AJ16:AJ18)</f>
        <v>60021</v>
      </c>
      <c r="AK19" s="220"/>
      <c r="AL19" s="110"/>
      <c r="AM19" s="90"/>
      <c r="AN19" s="90"/>
    </row>
    <row r="20" spans="3:41" ht="15" thickTop="1" x14ac:dyDescent="0.3">
      <c r="C20" s="172">
        <f t="shared" si="1"/>
        <v>43919</v>
      </c>
      <c r="E20" s="286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8">
        <f t="shared" ref="Q20:Q61" si="4">+K20-K19</f>
        <v>9457</v>
      </c>
      <c r="R20" s="44"/>
      <c r="S20" s="7">
        <f>965+161</f>
        <v>1126</v>
      </c>
      <c r="T20" s="6"/>
      <c r="U20" s="288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1"/>
      <c r="AD20" s="170"/>
      <c r="AE20" s="170"/>
      <c r="AF20" s="203"/>
      <c r="AG20" s="203"/>
      <c r="AH20" s="203"/>
      <c r="AI20" s="203"/>
      <c r="AJ20" s="203"/>
      <c r="AK20" s="220"/>
      <c r="AL20" s="110"/>
      <c r="AM20" s="90"/>
      <c r="AN20" s="90"/>
    </row>
    <row r="21" spans="3:41" ht="15" thickBot="1" x14ac:dyDescent="0.35">
      <c r="C21" s="172">
        <f t="shared" si="1"/>
        <v>43920</v>
      </c>
      <c r="E21" s="286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8">
        <f t="shared" si="4"/>
        <v>10204</v>
      </c>
      <c r="R21" s="44"/>
      <c r="S21" s="7">
        <f>1218+198</f>
        <v>1416</v>
      </c>
      <c r="T21" s="6"/>
      <c r="U21" s="288">
        <f t="shared" si="5"/>
        <v>1.7039096061514023E-2</v>
      </c>
      <c r="W21">
        <f t="shared" si="0"/>
        <v>11</v>
      </c>
      <c r="Z21" s="1"/>
      <c r="AA21" s="1"/>
      <c r="AB21" s="1"/>
      <c r="AC21" s="191"/>
      <c r="AD21" s="222" t="s">
        <v>29</v>
      </c>
      <c r="AE21" s="170"/>
      <c r="AF21" s="223">
        <f>+AF19/'Main Table'!H94</f>
        <v>0.38373052690228815</v>
      </c>
      <c r="AG21" s="203"/>
      <c r="AH21" s="203"/>
      <c r="AI21" s="203"/>
      <c r="AJ21" s="223">
        <f>+AJ19/'Main Table'!Z94</f>
        <v>0.53203974719225622</v>
      </c>
      <c r="AK21" s="220"/>
      <c r="AL21" s="110"/>
      <c r="AM21" s="96">
        <f>1-AJ21</f>
        <v>0.46796025280774378</v>
      </c>
      <c r="AN21" s="90"/>
    </row>
    <row r="22" spans="3:41" ht="15.6" thickTop="1" thickBot="1" x14ac:dyDescent="0.35">
      <c r="C22" s="172">
        <f t="shared" si="1"/>
        <v>43921</v>
      </c>
      <c r="E22" s="286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8">
        <f t="shared" si="4"/>
        <v>11388</v>
      </c>
      <c r="R22" s="6"/>
      <c r="S22" s="7">
        <f>1550+267</f>
        <v>1817</v>
      </c>
      <c r="T22" s="6"/>
      <c r="U22" s="288">
        <f t="shared" si="5"/>
        <v>1.9229344593665005E-2</v>
      </c>
      <c r="W22">
        <f t="shared" si="0"/>
        <v>12</v>
      </c>
      <c r="Z22" s="1"/>
      <c r="AA22" s="1"/>
      <c r="AB22" s="1"/>
      <c r="AC22" s="196"/>
      <c r="AD22" s="224"/>
      <c r="AE22" s="197"/>
      <c r="AF22" s="225"/>
      <c r="AG22" s="226"/>
      <c r="AH22" s="226"/>
      <c r="AI22" s="226"/>
      <c r="AJ22" s="225"/>
      <c r="AK22" s="227"/>
      <c r="AL22" s="110"/>
      <c r="AM22" s="90"/>
      <c r="AN22" s="90"/>
    </row>
    <row r="23" spans="3:41" x14ac:dyDescent="0.3">
      <c r="C23" s="172">
        <f t="shared" si="1"/>
        <v>43922</v>
      </c>
      <c r="E23" s="286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8">
        <f t="shared" si="4"/>
        <v>11476</v>
      </c>
      <c r="R23" s="6"/>
      <c r="S23" s="7">
        <f>1941+355</f>
        <v>2296</v>
      </c>
      <c r="T23" s="6"/>
      <c r="U23" s="288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>
        <f>+'Main Table'!Z82</f>
        <v>106195</v>
      </c>
      <c r="AN23" s="90">
        <f>+AM23*AJ21</f>
        <v>56499.960953081652</v>
      </c>
    </row>
    <row r="24" spans="3:41" ht="15" thickBot="1" x14ac:dyDescent="0.35">
      <c r="C24" s="172">
        <f t="shared" si="1"/>
        <v>43923</v>
      </c>
      <c r="E24" s="286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8">
        <f t="shared" si="4"/>
        <v>12129</v>
      </c>
      <c r="R24" s="6"/>
      <c r="S24" s="7">
        <f>2373+537</f>
        <v>2910</v>
      </c>
      <c r="T24" s="6"/>
      <c r="U24" s="288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>
        <f>0.42*AM21*AM23</f>
        <v>20871.916399705708</v>
      </c>
      <c r="AO24" s="118"/>
    </row>
    <row r="25" spans="3:41" ht="15" thickBot="1" x14ac:dyDescent="0.35">
      <c r="C25" s="172">
        <f t="shared" si="1"/>
        <v>43924</v>
      </c>
      <c r="E25" s="286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8">
        <f t="shared" si="4"/>
        <v>14859</v>
      </c>
      <c r="R25" s="6"/>
      <c r="S25" s="7">
        <f>2935+646</f>
        <v>3581</v>
      </c>
      <c r="T25" s="6"/>
      <c r="U25" s="288">
        <f t="shared" si="5"/>
        <v>2.6933925012222179E-2</v>
      </c>
      <c r="W25">
        <f t="shared" si="0"/>
        <v>15</v>
      </c>
      <c r="Z25" s="1"/>
      <c r="AA25" s="526" t="s">
        <v>57</v>
      </c>
      <c r="AB25" s="527"/>
      <c r="AC25" s="527"/>
      <c r="AD25" s="527"/>
      <c r="AE25" s="527"/>
      <c r="AF25" s="527"/>
      <c r="AG25" s="527"/>
      <c r="AH25" s="527"/>
      <c r="AI25" s="527"/>
      <c r="AJ25" s="527"/>
      <c r="AK25" s="528"/>
      <c r="AL25" s="155"/>
      <c r="AM25" s="155"/>
      <c r="AN25" s="90">
        <f>+AN23+AN24</f>
        <v>77371.877352787356</v>
      </c>
      <c r="AO25" s="118"/>
    </row>
    <row r="26" spans="3:41" x14ac:dyDescent="0.3">
      <c r="C26" s="172">
        <f t="shared" si="1"/>
        <v>43925</v>
      </c>
      <c r="E26" s="286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8">
        <f t="shared" si="4"/>
        <v>15002</v>
      </c>
      <c r="R26" s="6"/>
      <c r="S26" s="7">
        <f>3565+846</f>
        <v>4411</v>
      </c>
      <c r="T26" s="6"/>
      <c r="U26" s="288">
        <f t="shared" si="5"/>
        <v>2.9812715856634021E-2</v>
      </c>
      <c r="W26">
        <f t="shared" si="0"/>
        <v>16</v>
      </c>
      <c r="Z26" s="1"/>
      <c r="AA26" s="187"/>
      <c r="AB26" s="188" t="s">
        <v>53</v>
      </c>
      <c r="AC26" s="189"/>
      <c r="AD26" s="188" t="s">
        <v>20</v>
      </c>
      <c r="AE26" s="189"/>
      <c r="AF26" s="188" t="s">
        <v>54</v>
      </c>
      <c r="AG26" s="189"/>
      <c r="AH26" s="188" t="s">
        <v>56</v>
      </c>
      <c r="AI26" s="189"/>
      <c r="AJ26" s="188" t="s">
        <v>55</v>
      </c>
      <c r="AK26" s="190"/>
      <c r="AL26" s="118"/>
      <c r="AM26" s="118"/>
      <c r="AN26" s="96">
        <f>+AN25/AM23</f>
        <v>0.72858305337150864</v>
      </c>
      <c r="AO26" s="118"/>
    </row>
    <row r="27" spans="3:41" x14ac:dyDescent="0.3">
      <c r="C27" s="172">
        <f t="shared" si="1"/>
        <v>43926</v>
      </c>
      <c r="E27" s="286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8">
        <f t="shared" si="4"/>
        <v>12708</v>
      </c>
      <c r="R27" s="6"/>
      <c r="S27" s="7">
        <f>4150+914</f>
        <v>5064</v>
      </c>
      <c r="T27" s="6"/>
      <c r="U27" s="288">
        <f t="shared" si="5"/>
        <v>3.1518999159742322E-2</v>
      </c>
      <c r="W27">
        <f t="shared" si="0"/>
        <v>17</v>
      </c>
      <c r="Z27" s="1"/>
      <c r="AA27" s="191"/>
      <c r="AB27" s="170" t="s">
        <v>50</v>
      </c>
      <c r="AC27" s="170"/>
      <c r="AD27" s="170">
        <f>+E99</f>
        <v>378799</v>
      </c>
      <c r="AE27" s="170"/>
      <c r="AF27" s="201">
        <v>1947</v>
      </c>
      <c r="AG27" s="170"/>
      <c r="AH27" s="192">
        <f>+AD27/AD$31</f>
        <v>0.5481776806581623</v>
      </c>
      <c r="AI27" s="192"/>
      <c r="AJ27" s="170">
        <f>+AF27*AH27</f>
        <v>1067.301944241442</v>
      </c>
      <c r="AK27" s="193"/>
      <c r="AL27" s="118"/>
      <c r="AM27" s="90"/>
      <c r="AN27" s="90"/>
      <c r="AO27" s="118"/>
    </row>
    <row r="28" spans="3:41" x14ac:dyDescent="0.3">
      <c r="C28" s="172">
        <f t="shared" si="1"/>
        <v>43927</v>
      </c>
      <c r="E28" s="286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8">
        <f t="shared" si="4"/>
        <v>11985</v>
      </c>
      <c r="R28" s="6"/>
      <c r="S28" s="7">
        <f>4758+1003</f>
        <v>5761</v>
      </c>
      <c r="T28" s="6"/>
      <c r="U28" s="288">
        <f t="shared" si="5"/>
        <v>3.3368085722560094E-2</v>
      </c>
      <c r="W28">
        <f t="shared" si="0"/>
        <v>18</v>
      </c>
      <c r="Z28" s="1"/>
      <c r="AA28" s="191"/>
      <c r="AB28" s="170" t="s">
        <v>51</v>
      </c>
      <c r="AC28" s="170"/>
      <c r="AD28" s="170">
        <f>+G99</f>
        <v>164497</v>
      </c>
      <c r="AE28" s="170"/>
      <c r="AF28" s="201">
        <v>1852</v>
      </c>
      <c r="AG28" s="170"/>
      <c r="AH28" s="192">
        <f>+AD28/AD$31</f>
        <v>0.23805127240363813</v>
      </c>
      <c r="AI28" s="192"/>
      <c r="AJ28" s="170">
        <f>+AF28*AH28</f>
        <v>440.87095649153781</v>
      </c>
      <c r="AK28" s="193"/>
      <c r="AL28" s="118"/>
      <c r="AM28" s="90"/>
      <c r="AN28" s="90"/>
      <c r="AO28" s="118"/>
    </row>
    <row r="29" spans="3:41" x14ac:dyDescent="0.3">
      <c r="C29" s="172">
        <f t="shared" si="1"/>
        <v>43928</v>
      </c>
      <c r="E29" s="286">
        <v>139876</v>
      </c>
      <c r="F29" s="7"/>
      <c r="G29" s="7">
        <f>44416</f>
        <v>44416</v>
      </c>
      <c r="H29" s="7"/>
      <c r="I29" s="7"/>
      <c r="J29" s="289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8">
        <f t="shared" si="4"/>
        <v>11642</v>
      </c>
      <c r="R29" s="6"/>
      <c r="S29" s="7">
        <f>5489+1232+277</f>
        <v>6998</v>
      </c>
      <c r="T29" s="6"/>
      <c r="U29" s="288">
        <f t="shared" si="5"/>
        <v>3.7972348229982855E-2</v>
      </c>
      <c r="W29">
        <f t="shared" si="0"/>
        <v>19</v>
      </c>
      <c r="Z29" s="1"/>
      <c r="AA29" s="191"/>
      <c r="AB29" s="170" t="s">
        <v>52</v>
      </c>
      <c r="AC29" s="170"/>
      <c r="AD29" s="170">
        <f>+I99</f>
        <v>44093</v>
      </c>
      <c r="AE29" s="170"/>
      <c r="AF29" s="201">
        <v>1237</v>
      </c>
      <c r="AG29" s="170"/>
      <c r="AH29" s="192">
        <f>+AD29/AD$31</f>
        <v>6.3809034536153345E-2</v>
      </c>
      <c r="AI29" s="192"/>
      <c r="AJ29" s="170">
        <f>+AF29*AH29</f>
        <v>78.931775721221683</v>
      </c>
      <c r="AK29" s="193"/>
      <c r="AL29" s="118"/>
      <c r="AM29" s="90"/>
      <c r="AN29" s="90"/>
      <c r="AO29" s="118"/>
    </row>
    <row r="30" spans="3:41" x14ac:dyDescent="0.3">
      <c r="C30" s="172">
        <f t="shared" si="1"/>
        <v>43929</v>
      </c>
      <c r="E30" s="286">
        <v>151069</v>
      </c>
      <c r="F30" s="7"/>
      <c r="G30" s="7">
        <f>47437</f>
        <v>47437</v>
      </c>
      <c r="H30" s="7"/>
      <c r="I30" s="7">
        <v>8781</v>
      </c>
      <c r="J30" s="289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8">
        <f t="shared" si="4"/>
        <v>22995</v>
      </c>
      <c r="R30" s="6"/>
      <c r="S30" s="7">
        <f>6268+1504+335</f>
        <v>8107</v>
      </c>
      <c r="T30" s="6"/>
      <c r="U30" s="288">
        <f t="shared" si="5"/>
        <v>3.9110026195564605E-2</v>
      </c>
      <c r="W30">
        <f t="shared" si="0"/>
        <v>20</v>
      </c>
      <c r="Z30" s="1"/>
      <c r="AA30" s="187"/>
      <c r="AB30" s="170" t="s">
        <v>107</v>
      </c>
      <c r="AC30" s="282"/>
      <c r="AD30" s="170">
        <f>+AF17</f>
        <v>103626</v>
      </c>
      <c r="AE30" s="282"/>
      <c r="AF30" s="170">
        <f>+AH17</f>
        <v>1503</v>
      </c>
      <c r="AG30" s="282"/>
      <c r="AH30" s="192">
        <f>+AD30/AD$31</f>
        <v>0.14996201240204626</v>
      </c>
      <c r="AI30" s="282"/>
      <c r="AJ30" s="170">
        <f>+AF30*AH30</f>
        <v>225.39290464027553</v>
      </c>
      <c r="AK30" s="193"/>
      <c r="AL30" s="118"/>
      <c r="AM30" s="90"/>
      <c r="AN30" s="90"/>
      <c r="AO30" s="118"/>
    </row>
    <row r="31" spans="3:41" ht="15" thickBot="1" x14ac:dyDescent="0.35">
      <c r="C31" s="172">
        <f t="shared" si="1"/>
        <v>43930</v>
      </c>
      <c r="E31" s="286">
        <v>161790</v>
      </c>
      <c r="F31" s="7"/>
      <c r="G31" s="7">
        <f>51027</f>
        <v>51027</v>
      </c>
      <c r="H31" s="7"/>
      <c r="I31" s="7">
        <v>9784</v>
      </c>
      <c r="J31" s="289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8">
        <f t="shared" si="4"/>
        <v>15314</v>
      </c>
      <c r="R31" s="6"/>
      <c r="S31" s="7">
        <f>7067+1209+380</f>
        <v>8656</v>
      </c>
      <c r="T31" s="6"/>
      <c r="U31" s="288">
        <f t="shared" si="5"/>
        <v>3.8885719291467696E-2</v>
      </c>
      <c r="W31">
        <f t="shared" si="0"/>
        <v>21</v>
      </c>
      <c r="Z31" s="1"/>
      <c r="AA31" s="191"/>
      <c r="AB31" s="170"/>
      <c r="AC31" s="170"/>
      <c r="AD31" s="194">
        <f>SUM(AD27:AD30)</f>
        <v>691015</v>
      </c>
      <c r="AE31" s="170"/>
      <c r="AF31" s="170"/>
      <c r="AG31" s="170"/>
      <c r="AH31" s="195">
        <f>SUM(AH27:AH30)</f>
        <v>1</v>
      </c>
      <c r="AI31" s="192"/>
      <c r="AJ31" s="194">
        <f>SUM(AJ27:AJ30)</f>
        <v>1812.4975810944768</v>
      </c>
      <c r="AK31" s="193"/>
      <c r="AL31" s="118"/>
      <c r="AM31" s="90"/>
      <c r="AN31" s="90"/>
      <c r="AO31" s="118"/>
    </row>
    <row r="32" spans="3:41" ht="15.6" thickTop="1" thickBot="1" x14ac:dyDescent="0.35">
      <c r="C32" s="172">
        <f t="shared" si="1"/>
        <v>43931</v>
      </c>
      <c r="E32" s="286">
        <v>174481</v>
      </c>
      <c r="F32" s="7"/>
      <c r="G32" s="7">
        <f>54588</f>
        <v>54588</v>
      </c>
      <c r="H32" s="7"/>
      <c r="I32" s="7">
        <v>10538</v>
      </c>
      <c r="J32" s="289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8">
        <f t="shared" si="4"/>
        <v>17006</v>
      </c>
      <c r="R32" s="6"/>
      <c r="S32" s="7">
        <f>7884+1932+448</f>
        <v>10264</v>
      </c>
      <c r="T32" s="6"/>
      <c r="U32" s="288">
        <f t="shared" si="5"/>
        <v>4.2836811946228619E-2</v>
      </c>
      <c r="W32">
        <f t="shared" si="0"/>
        <v>22</v>
      </c>
      <c r="Z32" s="1"/>
      <c r="AA32" s="196"/>
      <c r="AB32" s="197"/>
      <c r="AC32" s="197"/>
      <c r="AD32" s="197"/>
      <c r="AE32" s="197"/>
      <c r="AF32" s="197"/>
      <c r="AG32" s="197"/>
      <c r="AH32" s="198"/>
      <c r="AI32" s="198"/>
      <c r="AJ32" s="199"/>
      <c r="AK32" s="200"/>
      <c r="AL32" s="118"/>
      <c r="AM32" s="90"/>
      <c r="AN32" s="90"/>
      <c r="AO32" s="118"/>
    </row>
    <row r="33" spans="3:40" x14ac:dyDescent="0.3">
      <c r="C33" s="172">
        <f t="shared" si="1"/>
        <v>43932</v>
      </c>
      <c r="E33" s="286">
        <v>181825</v>
      </c>
      <c r="F33" s="7"/>
      <c r="G33" s="7">
        <f>58151</f>
        <v>58151</v>
      </c>
      <c r="H33" s="7"/>
      <c r="I33" s="7">
        <v>11510</v>
      </c>
      <c r="J33" s="289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8">
        <f t="shared" si="4"/>
        <v>11879</v>
      </c>
      <c r="R33" s="6"/>
      <c r="S33" s="7">
        <f>8650+2183+494</f>
        <v>11327</v>
      </c>
      <c r="T33" s="6"/>
      <c r="U33" s="288">
        <f t="shared" si="5"/>
        <v>4.5040280572278379E-2</v>
      </c>
      <c r="W33">
        <f t="shared" si="0"/>
        <v>23</v>
      </c>
    </row>
    <row r="34" spans="3:40" x14ac:dyDescent="0.3">
      <c r="C34" s="172">
        <f t="shared" si="1"/>
        <v>43933</v>
      </c>
      <c r="E34" s="286">
        <v>189033</v>
      </c>
      <c r="F34" s="7"/>
      <c r="G34" s="7">
        <f>61850</f>
        <v>61850</v>
      </c>
      <c r="H34" s="7"/>
      <c r="I34" s="7">
        <v>12035</v>
      </c>
      <c r="J34" s="289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8">
        <f t="shared" si="4"/>
        <v>11432</v>
      </c>
      <c r="R34" s="6"/>
      <c r="S34" s="7">
        <f>9385+2350+554</f>
        <v>12289</v>
      </c>
      <c r="T34" s="6"/>
      <c r="U34" s="288">
        <f t="shared" si="5"/>
        <v>4.674080892141276E-2</v>
      </c>
      <c r="W34">
        <f t="shared" si="0"/>
        <v>24</v>
      </c>
    </row>
    <row r="35" spans="3:40" ht="15" thickBot="1" x14ac:dyDescent="0.35">
      <c r="C35" s="172">
        <f t="shared" si="1"/>
        <v>43934</v>
      </c>
      <c r="E35" s="286">
        <v>195749</v>
      </c>
      <c r="F35" s="7"/>
      <c r="G35" s="7">
        <f>64584</f>
        <v>64584</v>
      </c>
      <c r="H35" s="7"/>
      <c r="I35" s="7">
        <v>13381</v>
      </c>
      <c r="J35" s="289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8">
        <f t="shared" si="4"/>
        <v>10796</v>
      </c>
      <c r="R35" s="6"/>
      <c r="S35" s="7">
        <f>10058+2443+602</f>
        <v>13103</v>
      </c>
      <c r="T35" s="6"/>
      <c r="U35" s="288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2">
        <f t="shared" si="1"/>
        <v>43935</v>
      </c>
      <c r="E36" s="286">
        <v>203020</v>
      </c>
      <c r="F36" s="7"/>
      <c r="G36" s="7">
        <f>68824</f>
        <v>68824</v>
      </c>
      <c r="H36" s="7"/>
      <c r="I36" s="7">
        <v>13989</v>
      </c>
      <c r="J36" s="289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8">
        <f t="shared" si="4"/>
        <v>12119</v>
      </c>
      <c r="R36" s="6"/>
      <c r="S36" s="7">
        <f>10842+2805+671+3778</f>
        <v>18096</v>
      </c>
      <c r="T36" s="6"/>
      <c r="U36" s="288">
        <f t="shared" si="5"/>
        <v>6.3309694821801543E-2</v>
      </c>
      <c r="W36">
        <f t="shared" si="0"/>
        <v>26</v>
      </c>
      <c r="Z36" s="1"/>
      <c r="AA36" s="521" t="s">
        <v>31</v>
      </c>
      <c r="AB36" s="522"/>
      <c r="AC36" s="522"/>
      <c r="AD36" s="522"/>
      <c r="AE36" s="522"/>
      <c r="AF36" s="522"/>
      <c r="AG36" s="522"/>
      <c r="AH36" s="522"/>
      <c r="AI36" s="523"/>
      <c r="AJ36" s="155"/>
      <c r="AK36" s="155"/>
      <c r="AL36" s="155"/>
      <c r="AM36" s="95"/>
      <c r="AN36" s="95"/>
    </row>
    <row r="37" spans="3:40" x14ac:dyDescent="0.3">
      <c r="C37" s="172">
        <f t="shared" si="1"/>
        <v>43936</v>
      </c>
      <c r="E37" s="286">
        <v>214639</v>
      </c>
      <c r="F37" s="7"/>
      <c r="G37" s="7">
        <f>71030</f>
        <v>71030</v>
      </c>
      <c r="H37" s="7"/>
      <c r="I37" s="7">
        <v>14755</v>
      </c>
      <c r="J37" s="289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8">
        <f t="shared" si="4"/>
        <v>14591</v>
      </c>
      <c r="R37" s="6"/>
      <c r="S37" s="7">
        <f>11620+3156+868-145</f>
        <v>15499</v>
      </c>
      <c r="T37" s="6"/>
      <c r="U37" s="288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8" t="s">
        <v>30</v>
      </c>
      <c r="AG37" s="166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2">
        <f t="shared" si="1"/>
        <v>43937</v>
      </c>
      <c r="E38" s="286">
        <v>223691</v>
      </c>
      <c r="F38" s="7"/>
      <c r="G38" s="7">
        <f>75317</f>
        <v>75317</v>
      </c>
      <c r="H38" s="7"/>
      <c r="I38" s="7">
        <v>15884</v>
      </c>
      <c r="J38" s="289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8">
        <f t="shared" si="4"/>
        <v>14468</v>
      </c>
      <c r="R38" s="6"/>
      <c r="S38" s="7">
        <f>14832+3518+446</f>
        <v>18796</v>
      </c>
      <c r="T38" s="6"/>
      <c r="U38" s="288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7">
        <v>20100000</v>
      </c>
      <c r="AG38" s="166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2">
        <f t="shared" si="1"/>
        <v>43938</v>
      </c>
      <c r="E39" s="286">
        <v>230597</v>
      </c>
      <c r="F39" s="7"/>
      <c r="G39" s="7">
        <f>78467</f>
        <v>78467</v>
      </c>
      <c r="H39" s="7"/>
      <c r="I39" s="7">
        <v>16809</v>
      </c>
      <c r="J39" s="289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8">
        <f t="shared" si="4"/>
        <v>10981</v>
      </c>
      <c r="R39" s="6"/>
      <c r="S39" s="7">
        <f>17131+3840+1036</f>
        <v>22007</v>
      </c>
      <c r="T39" s="6"/>
      <c r="U39" s="288">
        <f t="shared" si="5"/>
        <v>6.7532443620674315E-2</v>
      </c>
      <c r="W39">
        <f t="shared" si="0"/>
        <v>29</v>
      </c>
      <c r="Z39" s="75"/>
      <c r="AA39" s="91"/>
      <c r="AB39" s="102" t="s">
        <v>59</v>
      </c>
      <c r="AC39" s="102"/>
      <c r="AD39" s="102"/>
      <c r="AE39" s="102"/>
      <c r="AF39" s="166">
        <v>4900000</v>
      </c>
      <c r="AG39" s="166"/>
      <c r="AH39" s="100">
        <f>+AF39/AF$43</f>
        <v>1.4848484848484849E-2</v>
      </c>
      <c r="AI39" s="179"/>
      <c r="AJ39" s="177"/>
      <c r="AK39" s="177"/>
      <c r="AL39" s="110"/>
      <c r="AM39" s="108"/>
      <c r="AN39" s="108"/>
    </row>
    <row r="40" spans="3:40" x14ac:dyDescent="0.3">
      <c r="C40" s="335">
        <f t="shared" si="1"/>
        <v>43939</v>
      </c>
      <c r="D40" s="110"/>
      <c r="E40" s="286">
        <v>238767</v>
      </c>
      <c r="F40" s="7"/>
      <c r="G40" s="7">
        <f>81420</f>
        <v>81420</v>
      </c>
      <c r="H40" s="7"/>
      <c r="I40" s="7">
        <v>17550</v>
      </c>
      <c r="J40" s="289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8">
        <f t="shared" si="4"/>
        <v>11864</v>
      </c>
      <c r="R40" s="6"/>
      <c r="S40" s="7">
        <f>17671+4070+1086</f>
        <v>22827</v>
      </c>
      <c r="T40" s="6"/>
      <c r="U40" s="288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93</v>
      </c>
      <c r="AC40" s="102"/>
      <c r="AD40" s="102"/>
      <c r="AE40" s="102"/>
      <c r="AF40" s="166">
        <v>6000000</v>
      </c>
      <c r="AG40" s="166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2">
        <f t="shared" si="1"/>
        <v>43940</v>
      </c>
      <c r="E41" s="286">
        <v>242570</v>
      </c>
      <c r="F41" s="7"/>
      <c r="G41" s="7">
        <f>85301</f>
        <v>85301</v>
      </c>
      <c r="H41" s="7"/>
      <c r="I41" s="7">
        <v>17550</v>
      </c>
      <c r="J41" s="289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8">
        <f t="shared" si="4"/>
        <v>7684</v>
      </c>
      <c r="R41" s="6"/>
      <c r="S41" s="7">
        <f>17428+4362+1086</f>
        <v>22876</v>
      </c>
      <c r="T41" s="6"/>
      <c r="U41" s="288">
        <f t="shared" si="5"/>
        <v>6.6226430935003952E-2</v>
      </c>
      <c r="W41">
        <f t="shared" si="0"/>
        <v>31</v>
      </c>
      <c r="Z41" s="75"/>
      <c r="AA41" s="91"/>
      <c r="AB41" s="166" t="s">
        <v>33</v>
      </c>
      <c r="AC41" s="166"/>
      <c r="AD41" s="166"/>
      <c r="AE41" s="166"/>
      <c r="AF41" s="165">
        <f>SUM(AF38:AG40)</f>
        <v>31000000</v>
      </c>
      <c r="AG41" s="166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2">
        <f t="shared" si="1"/>
        <v>43941</v>
      </c>
      <c r="E42" s="286">
        <v>253060</v>
      </c>
      <c r="F42" s="7"/>
      <c r="G42" s="7">
        <f>88722</f>
        <v>88722</v>
      </c>
      <c r="H42" s="7"/>
      <c r="I42" s="7">
        <v>19815</v>
      </c>
      <c r="J42" s="289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8">
        <f t="shared" si="4"/>
        <v>16176</v>
      </c>
      <c r="R42" s="6"/>
      <c r="S42" s="7">
        <f>18611+4496+1331</f>
        <v>24438</v>
      </c>
      <c r="T42" s="6"/>
      <c r="U42" s="288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3">
        <f t="shared" si="1"/>
        <v>43942</v>
      </c>
      <c r="E43" s="286">
        <v>258361</v>
      </c>
      <c r="F43" s="7"/>
      <c r="G43" s="7">
        <f>92387</f>
        <v>92387</v>
      </c>
      <c r="H43" s="7"/>
      <c r="I43" s="7">
        <v>20360</v>
      </c>
      <c r="J43" s="289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8">
        <f t="shared" si="4"/>
        <v>9511</v>
      </c>
      <c r="R43" s="6"/>
      <c r="S43" s="7">
        <f>18821+4520+1423</f>
        <v>24764</v>
      </c>
      <c r="T43" s="6"/>
      <c r="U43" s="288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5">
        <v>330000000</v>
      </c>
      <c r="AG43" s="166"/>
      <c r="AH43" s="175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3">
        <f t="shared" si="1"/>
        <v>43943</v>
      </c>
      <c r="E44" s="286">
        <v>263292</v>
      </c>
      <c r="F44" s="7"/>
      <c r="G44" s="7">
        <f>95418</f>
        <v>95418</v>
      </c>
      <c r="H44" s="7"/>
      <c r="I44" s="7">
        <v>22469</v>
      </c>
      <c r="J44" s="289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8">
        <f t="shared" si="4"/>
        <v>10071</v>
      </c>
      <c r="R44" s="6"/>
      <c r="S44" s="7">
        <f>19413+5129+1544</f>
        <v>26086</v>
      </c>
      <c r="T44" s="6"/>
      <c r="U44" s="288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80"/>
      <c r="AI44" s="112"/>
      <c r="AJ44" s="109"/>
      <c r="AK44" s="109"/>
      <c r="AL44" s="109"/>
      <c r="AM44" s="109"/>
      <c r="AN44" s="109"/>
    </row>
    <row r="45" spans="3:40" x14ac:dyDescent="0.3">
      <c r="C45" s="173">
        <f t="shared" si="1"/>
        <v>43944</v>
      </c>
      <c r="E45" s="286">
        <v>271145</v>
      </c>
      <c r="F45" s="7"/>
      <c r="G45" s="7">
        <f>99989</f>
        <v>99989</v>
      </c>
      <c r="H45" s="7"/>
      <c r="I45" s="7">
        <v>23128</v>
      </c>
      <c r="J45" s="289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8">
        <f t="shared" si="4"/>
        <v>13083</v>
      </c>
      <c r="R45" s="6"/>
      <c r="S45" s="7">
        <f>20971+5426+1637</f>
        <v>28034</v>
      </c>
      <c r="T45" s="6"/>
      <c r="U45" s="288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3">
        <f t="shared" si="1"/>
        <v>43945</v>
      </c>
      <c r="E46" s="286">
        <v>271590</v>
      </c>
      <c r="F46" s="7"/>
      <c r="G46" s="7">
        <f>100025</f>
        <v>100025</v>
      </c>
      <c r="H46" s="7"/>
      <c r="I46" s="7">
        <v>23936</v>
      </c>
      <c r="J46" s="289"/>
      <c r="K46" s="7">
        <f t="shared" si="6"/>
        <v>395551</v>
      </c>
      <c r="L46" s="6"/>
      <c r="M46" s="478">
        <f t="shared" si="7"/>
        <v>3.2693995363489254E-3</v>
      </c>
      <c r="N46" s="29"/>
      <c r="O46" s="29"/>
      <c r="P46" s="29"/>
      <c r="Q46" s="378">
        <f t="shared" si="4"/>
        <v>1289</v>
      </c>
      <c r="R46" s="6"/>
      <c r="S46" s="7">
        <f>21349+5426+1767</f>
        <v>28542</v>
      </c>
      <c r="T46" s="6"/>
      <c r="U46" s="288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3">
        <f t="shared" si="1"/>
        <v>43946</v>
      </c>
      <c r="E47" s="286">
        <v>282143</v>
      </c>
      <c r="F47" s="7"/>
      <c r="G47" s="7">
        <f>105498</f>
        <v>105498</v>
      </c>
      <c r="H47" s="7"/>
      <c r="I47" s="7">
        <v>24583</v>
      </c>
      <c r="J47" s="289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8">
        <f t="shared" si="4"/>
        <v>16673</v>
      </c>
      <c r="R47" s="6"/>
      <c r="S47" s="7">
        <f>22009+5914+1865</f>
        <v>29788</v>
      </c>
      <c r="T47" s="6"/>
      <c r="U47" s="288">
        <f t="shared" si="5"/>
        <v>7.2261682968483149E-2</v>
      </c>
      <c r="W47">
        <f t="shared" si="0"/>
        <v>37</v>
      </c>
    </row>
    <row r="48" spans="3:40" x14ac:dyDescent="0.3">
      <c r="C48" s="173">
        <f t="shared" si="1"/>
        <v>43947</v>
      </c>
      <c r="E48" s="286">
        <v>288045</v>
      </c>
      <c r="F48" s="7"/>
      <c r="G48" s="7">
        <f>109038</f>
        <v>109038</v>
      </c>
      <c r="H48" s="7"/>
      <c r="I48" s="7">
        <v>25269</v>
      </c>
      <c r="J48" s="289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8">
        <f t="shared" si="4"/>
        <v>10128</v>
      </c>
      <c r="R48" s="6"/>
      <c r="S48" s="7">
        <f>22269+5938+1924</f>
        <v>30131</v>
      </c>
      <c r="T48" s="6"/>
      <c r="U48" s="288">
        <f t="shared" si="5"/>
        <v>7.134096677652764E-2</v>
      </c>
      <c r="W48">
        <f t="shared" si="0"/>
        <v>38</v>
      </c>
      <c r="AF48" s="56"/>
    </row>
    <row r="49" spans="3:32" x14ac:dyDescent="0.3">
      <c r="C49" s="173">
        <f t="shared" si="1"/>
        <v>43948</v>
      </c>
      <c r="E49" s="286">
        <v>291996</v>
      </c>
      <c r="F49" s="7"/>
      <c r="G49" s="7">
        <f>111188</f>
        <v>111188</v>
      </c>
      <c r="H49" s="7"/>
      <c r="I49" s="7">
        <v>25269</v>
      </c>
      <c r="J49" s="289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8">
        <f t="shared" si="4"/>
        <v>6101</v>
      </c>
      <c r="R49" s="6"/>
      <c r="S49" s="7">
        <f>22668+6044+1924</f>
        <v>30636</v>
      </c>
      <c r="T49" s="6"/>
      <c r="U49" s="288">
        <f t="shared" si="5"/>
        <v>7.1503758872034973E-2</v>
      </c>
      <c r="W49">
        <f t="shared" si="0"/>
        <v>39</v>
      </c>
    </row>
    <row r="50" spans="3:32" x14ac:dyDescent="0.3">
      <c r="C50" s="173">
        <f t="shared" si="1"/>
        <v>43949</v>
      </c>
      <c r="E50" s="286">
        <v>295106</v>
      </c>
      <c r="F50" s="7"/>
      <c r="G50" s="7">
        <f>113856</f>
        <v>113856</v>
      </c>
      <c r="H50" s="7"/>
      <c r="I50" s="7">
        <v>26312</v>
      </c>
      <c r="J50" s="289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8">
        <f t="shared" si="4"/>
        <v>6821</v>
      </c>
      <c r="R50" s="6"/>
      <c r="S50" s="7">
        <f>22912+6442+2087</f>
        <v>31441</v>
      </c>
      <c r="T50" s="6"/>
      <c r="U50" s="288">
        <f t="shared" si="5"/>
        <v>7.223266264467898E-2</v>
      </c>
      <c r="W50">
        <f t="shared" si="0"/>
        <v>40</v>
      </c>
      <c r="AF50" s="275"/>
    </row>
    <row r="51" spans="3:32" x14ac:dyDescent="0.3">
      <c r="C51" s="172">
        <f t="shared" si="1"/>
        <v>43950</v>
      </c>
      <c r="E51" s="286">
        <v>299691</v>
      </c>
      <c r="F51" s="7"/>
      <c r="G51" s="7">
        <f>116365</f>
        <v>116365</v>
      </c>
      <c r="H51" s="7"/>
      <c r="I51" s="7">
        <v>26751</v>
      </c>
      <c r="J51" s="289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8">
        <f t="shared" si="4"/>
        <v>7533</v>
      </c>
      <c r="R51" s="6"/>
      <c r="S51" s="7">
        <f>23477+6711+2169</f>
        <v>32357</v>
      </c>
      <c r="T51" s="6"/>
      <c r="U51" s="288">
        <f t="shared" si="5"/>
        <v>7.3072467237419461E-2</v>
      </c>
      <c r="W51">
        <f t="shared" si="0"/>
        <v>41</v>
      </c>
    </row>
    <row r="52" spans="3:32" x14ac:dyDescent="0.3">
      <c r="C52" s="172">
        <f t="shared" si="1"/>
        <v>43951</v>
      </c>
      <c r="E52" s="286">
        <v>304372</v>
      </c>
      <c r="F52" s="7"/>
      <c r="G52" s="7">
        <v>118652</v>
      </c>
      <c r="H52" s="7"/>
      <c r="I52" s="7">
        <v>27700</v>
      </c>
      <c r="J52" s="289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8">
        <f t="shared" si="4"/>
        <v>7917</v>
      </c>
      <c r="R52" s="6"/>
      <c r="S52" s="7">
        <f>23545+7228+2257</f>
        <v>33030</v>
      </c>
      <c r="T52" s="6"/>
      <c r="U52" s="288">
        <f t="shared" si="5"/>
        <v>7.3282097247983249E-2</v>
      </c>
      <c r="W52">
        <f t="shared" si="0"/>
        <v>42</v>
      </c>
    </row>
    <row r="53" spans="3:32" x14ac:dyDescent="0.3">
      <c r="C53" s="172">
        <f t="shared" si="1"/>
        <v>43952</v>
      </c>
      <c r="E53" s="286">
        <v>308314</v>
      </c>
      <c r="F53" s="7"/>
      <c r="G53" s="7">
        <v>121190</v>
      </c>
      <c r="H53" s="7"/>
      <c r="I53" s="7">
        <v>28855</v>
      </c>
      <c r="J53" s="289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8">
        <f t="shared" si="4"/>
        <v>7635</v>
      </c>
      <c r="R53" s="6"/>
      <c r="S53" s="7">
        <f>23981+7538+2341</f>
        <v>33860</v>
      </c>
      <c r="T53" s="6"/>
      <c r="U53" s="288">
        <f t="shared" ref="U53:U65" si="10">+S53/K53</f>
        <v>7.3872226791663304E-2</v>
      </c>
      <c r="W53">
        <f t="shared" si="0"/>
        <v>43</v>
      </c>
    </row>
    <row r="54" spans="3:32" x14ac:dyDescent="0.3">
      <c r="C54" s="172">
        <f t="shared" si="1"/>
        <v>43953</v>
      </c>
      <c r="E54" s="286">
        <v>312977</v>
      </c>
      <c r="F54" s="7"/>
      <c r="G54" s="7">
        <v>123717</v>
      </c>
      <c r="H54" s="7"/>
      <c r="I54" s="7">
        <v>29346</v>
      </c>
      <c r="J54" s="289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8">
        <f t="shared" si="4"/>
        <v>7681</v>
      </c>
      <c r="R54" s="6"/>
      <c r="S54" s="7">
        <f>24198+7742+2437</f>
        <v>34377</v>
      </c>
      <c r="T54" s="6"/>
      <c r="U54" s="288">
        <f t="shared" si="10"/>
        <v>7.3764054587589042E-2</v>
      </c>
      <c r="W54">
        <f t="shared" si="0"/>
        <v>44</v>
      </c>
    </row>
    <row r="55" spans="3:32" x14ac:dyDescent="0.3">
      <c r="C55" s="172">
        <f t="shared" si="1"/>
        <v>43954</v>
      </c>
      <c r="E55" s="286">
        <v>316415</v>
      </c>
      <c r="F55" s="7"/>
      <c r="G55" s="7">
        <v>126744</v>
      </c>
      <c r="H55" s="7"/>
      <c r="I55" s="7">
        <v>29087</v>
      </c>
      <c r="J55" s="289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8">
        <f t="shared" si="4"/>
        <v>6206</v>
      </c>
      <c r="R55" s="6"/>
      <c r="S55" s="7">
        <f>24708+7871+2436</f>
        <v>35015</v>
      </c>
      <c r="T55" s="6"/>
      <c r="U55" s="288">
        <f t="shared" si="10"/>
        <v>7.4145678311727359E-2</v>
      </c>
      <c r="W55">
        <f t="shared" si="0"/>
        <v>45</v>
      </c>
    </row>
    <row r="56" spans="3:32" x14ac:dyDescent="0.3">
      <c r="C56" s="173">
        <f t="shared" si="1"/>
        <v>43955</v>
      </c>
      <c r="E56" s="286">
        <v>318953</v>
      </c>
      <c r="F56" s="7"/>
      <c r="G56" s="7">
        <v>128269</v>
      </c>
      <c r="H56" s="7"/>
      <c r="I56" s="7">
        <v>29973</v>
      </c>
      <c r="J56" s="289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8">
        <f t="shared" si="4"/>
        <v>4949</v>
      </c>
      <c r="R56" s="6"/>
      <c r="S56" s="7">
        <f>24999+7910+2556</f>
        <v>35465</v>
      </c>
      <c r="T56" s="6"/>
      <c r="U56" s="288">
        <f t="shared" si="10"/>
        <v>7.4319722545290706E-2</v>
      </c>
      <c r="W56">
        <f t="shared" si="0"/>
        <v>46</v>
      </c>
    </row>
    <row r="57" spans="3:32" x14ac:dyDescent="0.3">
      <c r="C57" s="173">
        <f t="shared" si="1"/>
        <v>43956</v>
      </c>
      <c r="E57" s="286">
        <v>321192</v>
      </c>
      <c r="F57" s="7"/>
      <c r="G57" s="7">
        <v>130593</v>
      </c>
      <c r="H57" s="7"/>
      <c r="I57" s="7">
        <v>30621</v>
      </c>
      <c r="J57" s="289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8">
        <f t="shared" si="4"/>
        <v>5211</v>
      </c>
      <c r="R57" s="6"/>
      <c r="S57" s="7">
        <f>25124+8244+2633</f>
        <v>36001</v>
      </c>
      <c r="T57" s="6"/>
      <c r="U57" s="288">
        <f t="shared" si="10"/>
        <v>7.4628010431047706E-2</v>
      </c>
      <c r="W57">
        <f t="shared" si="0"/>
        <v>47</v>
      </c>
    </row>
    <row r="58" spans="3:32" x14ac:dyDescent="0.3">
      <c r="C58" s="173">
        <f t="shared" si="1"/>
        <v>43957</v>
      </c>
      <c r="E58" s="286">
        <v>323978</v>
      </c>
      <c r="F58" s="7"/>
      <c r="G58" s="7">
        <v>131890</v>
      </c>
      <c r="H58" s="7"/>
      <c r="I58" s="7">
        <v>30995</v>
      </c>
      <c r="J58" s="289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8">
        <f t="shared" si="4"/>
        <v>4457</v>
      </c>
      <c r="R58" s="6"/>
      <c r="S58" s="7">
        <f>25346+8549+2718</f>
        <v>36613</v>
      </c>
      <c r="T58" s="6"/>
      <c r="U58" s="288">
        <f t="shared" si="10"/>
        <v>7.5201853498828214E-2</v>
      </c>
      <c r="W58">
        <f t="shared" si="0"/>
        <v>48</v>
      </c>
    </row>
    <row r="59" spans="3:32" x14ac:dyDescent="0.3">
      <c r="C59" s="173">
        <f t="shared" si="1"/>
        <v>43958</v>
      </c>
      <c r="E59" s="286">
        <v>327469</v>
      </c>
      <c r="F59" s="7"/>
      <c r="G59" s="7">
        <v>133991</v>
      </c>
      <c r="H59" s="7"/>
      <c r="I59" s="7">
        <v>31784</v>
      </c>
      <c r="J59" s="289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8">
        <f t="shared" si="4"/>
        <v>6381</v>
      </c>
      <c r="R59" s="6"/>
      <c r="S59" s="7">
        <f>26144+8807+2797</f>
        <v>37748</v>
      </c>
      <c r="T59" s="6"/>
      <c r="U59" s="288">
        <f t="shared" si="10"/>
        <v>7.6530074364817416E-2</v>
      </c>
      <c r="W59">
        <f t="shared" si="0"/>
        <v>49</v>
      </c>
    </row>
    <row r="60" spans="3:32" x14ac:dyDescent="0.3">
      <c r="C60" s="173">
        <f t="shared" si="1"/>
        <v>43959</v>
      </c>
      <c r="E60" s="286">
        <v>330407</v>
      </c>
      <c r="F60" s="7"/>
      <c r="G60" s="7">
        <v>135840</v>
      </c>
      <c r="H60" s="7"/>
      <c r="I60" s="7">
        <v>32411</v>
      </c>
      <c r="J60" s="289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8">
        <f t="shared" si="4"/>
        <v>5414</v>
      </c>
      <c r="R60" s="6"/>
      <c r="S60" s="7">
        <f>26243+8960+2874</f>
        <v>38077</v>
      </c>
      <c r="T60" s="6"/>
      <c r="U60" s="288">
        <f t="shared" si="10"/>
        <v>7.6358947414861489E-2</v>
      </c>
      <c r="W60">
        <f t="shared" si="0"/>
        <v>50</v>
      </c>
    </row>
    <row r="61" spans="3:32" x14ac:dyDescent="0.3">
      <c r="C61" s="173">
        <f t="shared" si="1"/>
        <v>43960</v>
      </c>
      <c r="E61" s="286">
        <v>333122</v>
      </c>
      <c r="F61" s="7"/>
      <c r="G61" s="7">
        <v>137397</v>
      </c>
      <c r="H61" s="7"/>
      <c r="I61" s="7">
        <v>32984</v>
      </c>
      <c r="J61" s="289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8">
        <f t="shared" si="4"/>
        <v>4845</v>
      </c>
      <c r="R61" s="6"/>
      <c r="S61" s="7">
        <f>26563+9116+2932</f>
        <v>38611</v>
      </c>
      <c r="T61" s="6"/>
      <c r="U61" s="288">
        <f t="shared" si="10"/>
        <v>7.6684746664865952E-2</v>
      </c>
      <c r="W61">
        <f t="shared" si="0"/>
        <v>51</v>
      </c>
    </row>
    <row r="62" spans="3:32" x14ac:dyDescent="0.3">
      <c r="C62" s="173">
        <f t="shared" si="1"/>
        <v>43961</v>
      </c>
      <c r="E62" s="286">
        <v>335395</v>
      </c>
      <c r="F62" s="7"/>
      <c r="G62" s="7">
        <v>138754</v>
      </c>
      <c r="H62" s="7"/>
      <c r="I62" s="7">
        <v>33554</v>
      </c>
      <c r="J62" s="289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8">
        <f>+K62-K61</f>
        <v>4200</v>
      </c>
      <c r="R62" s="6"/>
      <c r="S62" s="7">
        <f>26641+9256+2967</f>
        <v>38864</v>
      </c>
      <c r="T62" s="6"/>
      <c r="U62" s="288">
        <f t="shared" si="10"/>
        <v>7.6548690868480193E-2</v>
      </c>
      <c r="W62">
        <f t="shared" si="0"/>
        <v>52</v>
      </c>
    </row>
    <row r="63" spans="3:32" x14ac:dyDescent="0.3">
      <c r="C63" s="173">
        <f t="shared" si="1"/>
        <v>43962</v>
      </c>
      <c r="E63" s="286">
        <v>337055</v>
      </c>
      <c r="F63" s="7"/>
      <c r="G63" s="7">
        <v>140206</v>
      </c>
      <c r="H63" s="7"/>
      <c r="I63" s="7">
        <v>33765</v>
      </c>
      <c r="J63" s="289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8">
        <f>+K63-K62</f>
        <v>3323</v>
      </c>
      <c r="R63" s="6"/>
      <c r="S63" s="7">
        <f>26721+9340+3008</f>
        <v>39069</v>
      </c>
      <c r="T63" s="6"/>
      <c r="U63" s="288">
        <f t="shared" si="10"/>
        <v>7.6452078759202069E-2</v>
      </c>
      <c r="W63">
        <f t="shared" si="0"/>
        <v>53</v>
      </c>
    </row>
    <row r="64" spans="3:32" x14ac:dyDescent="0.3">
      <c r="C64" s="172">
        <f t="shared" si="1"/>
        <v>43963</v>
      </c>
      <c r="E64" s="286">
        <v>338485</v>
      </c>
      <c r="F64" s="7"/>
      <c r="G64" s="7">
        <v>140917</v>
      </c>
      <c r="H64" s="7"/>
      <c r="I64" s="7">
        <v>34333</v>
      </c>
      <c r="J64" s="289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8">
        <f>+K64-K63</f>
        <v>2709</v>
      </c>
      <c r="R64" s="6"/>
      <c r="S64" s="7">
        <f>27284+9531+3041</f>
        <v>39856</v>
      </c>
      <c r="T64" s="6"/>
      <c r="U64" s="288">
        <f t="shared" si="10"/>
        <v>7.7580853942207553E-2</v>
      </c>
      <c r="W64">
        <f t="shared" si="0"/>
        <v>54</v>
      </c>
    </row>
    <row r="65" spans="3:23" x14ac:dyDescent="0.3">
      <c r="C65" s="172">
        <f t="shared" si="1"/>
        <v>43964</v>
      </c>
      <c r="E65" s="286">
        <v>340661</v>
      </c>
      <c r="F65" s="7"/>
      <c r="G65" s="7">
        <v>141560</v>
      </c>
      <c r="H65" s="7"/>
      <c r="I65" s="7">
        <v>34895</v>
      </c>
      <c r="J65" s="289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8">
        <f>+K65-K64</f>
        <v>3381</v>
      </c>
      <c r="R65" s="6"/>
      <c r="S65" s="7">
        <f>27477+9714+3125</f>
        <v>40316</v>
      </c>
      <c r="T65" s="6"/>
      <c r="U65" s="288">
        <f t="shared" si="10"/>
        <v>7.7963164937847607E-2</v>
      </c>
      <c r="W65">
        <f t="shared" si="0"/>
        <v>55</v>
      </c>
    </row>
    <row r="66" spans="3:23" x14ac:dyDescent="0.3">
      <c r="C66" s="172">
        <f t="shared" si="1"/>
        <v>43965</v>
      </c>
      <c r="E66" s="286">
        <v>343051</v>
      </c>
      <c r="F66" s="7"/>
      <c r="G66" s="7">
        <v>142704</v>
      </c>
      <c r="H66" s="7"/>
      <c r="I66" s="7">
        <v>35464</v>
      </c>
      <c r="J66" s="289"/>
      <c r="K66" s="7">
        <f t="shared" ref="K66" si="11">SUM(E66:I66)</f>
        <v>521219</v>
      </c>
      <c r="L66" s="6"/>
      <c r="M66" s="29">
        <f t="shared" ref="M66" si="12">+(K66-K65)/K65</f>
        <v>7.9343899627936487E-3</v>
      </c>
      <c r="N66" s="29"/>
      <c r="O66" s="29"/>
      <c r="P66" s="29"/>
      <c r="Q66" s="378">
        <f>+K66-K65</f>
        <v>4103</v>
      </c>
      <c r="R66" s="6"/>
      <c r="S66" s="7">
        <f>27607+9946+3219</f>
        <v>40772</v>
      </c>
      <c r="T66" s="6"/>
      <c r="U66" s="288">
        <f t="shared" ref="U66" si="13">+S66/K66</f>
        <v>7.8224316458149076E-2</v>
      </c>
      <c r="W66">
        <f t="shared" si="0"/>
        <v>56</v>
      </c>
    </row>
    <row r="67" spans="3:23" x14ac:dyDescent="0.3">
      <c r="C67" s="172">
        <f t="shared" si="1"/>
        <v>43966</v>
      </c>
      <c r="E67" s="286">
        <v>345813</v>
      </c>
      <c r="F67" s="7"/>
      <c r="G67" s="7">
        <v>143984</v>
      </c>
      <c r="H67" s="7"/>
      <c r="I67" s="7">
        <v>36805</v>
      </c>
      <c r="J67" s="289"/>
      <c r="K67" s="7">
        <f t="shared" ref="K67" si="14">SUM(E67:I67)</f>
        <v>526602</v>
      </c>
      <c r="L67" s="6"/>
      <c r="M67" s="29">
        <f t="shared" ref="M67" si="15">+(K67-K66)/K66</f>
        <v>1.032771253542177E-2</v>
      </c>
      <c r="N67" s="29"/>
      <c r="O67" s="29"/>
      <c r="P67" s="29"/>
      <c r="Q67" s="378">
        <f t="shared" ref="Q67:Q68" si="16">+K67-K66</f>
        <v>5383</v>
      </c>
      <c r="R67" s="6"/>
      <c r="S67" s="7">
        <f>27607+9946+3219</f>
        <v>40772</v>
      </c>
      <c r="T67" s="6"/>
      <c r="U67" s="288">
        <f t="shared" ref="U67" si="17">+S67/K67</f>
        <v>7.7424696450070454E-2</v>
      </c>
      <c r="W67">
        <f t="shared" si="0"/>
        <v>57</v>
      </c>
    </row>
    <row r="68" spans="3:23" x14ac:dyDescent="0.3">
      <c r="C68" s="172">
        <f t="shared" si="1"/>
        <v>43967</v>
      </c>
      <c r="E68" s="286">
        <v>348232</v>
      </c>
      <c r="F68" s="7"/>
      <c r="G68" s="7">
        <v>145089</v>
      </c>
      <c r="H68" s="7"/>
      <c r="I68" s="7">
        <v>36703</v>
      </c>
      <c r="J68" s="289"/>
      <c r="K68" s="7">
        <f t="shared" ref="K68" si="18">SUM(E68:I68)</f>
        <v>530024</v>
      </c>
      <c r="L68" s="6"/>
      <c r="M68" s="29">
        <f t="shared" ref="M68" si="19">+(K68-K67)/K67</f>
        <v>6.4982662428171561E-3</v>
      </c>
      <c r="N68" s="29"/>
      <c r="O68" s="29"/>
      <c r="P68" s="29"/>
      <c r="Q68" s="378">
        <f t="shared" si="16"/>
        <v>3422</v>
      </c>
      <c r="R68" s="6"/>
      <c r="S68" s="7">
        <f>28049+10261+3339</f>
        <v>41649</v>
      </c>
      <c r="T68" s="6"/>
      <c r="U68" s="288">
        <f t="shared" ref="U68" si="20">+S68/K68</f>
        <v>7.8579460552729685E-2</v>
      </c>
      <c r="W68">
        <f t="shared" si="0"/>
        <v>58</v>
      </c>
    </row>
    <row r="69" spans="3:23" x14ac:dyDescent="0.3">
      <c r="C69" s="172">
        <f t="shared" si="1"/>
        <v>43968</v>
      </c>
      <c r="E69" s="286">
        <v>350121</v>
      </c>
      <c r="F69" s="7"/>
      <c r="G69" s="7">
        <v>146504</v>
      </c>
      <c r="H69" s="7"/>
      <c r="I69" s="7">
        <v>37419</v>
      </c>
      <c r="J69" s="289"/>
      <c r="K69" s="7">
        <f t="shared" ref="K69" si="21">SUM(E69:I69)</f>
        <v>534044</v>
      </c>
      <c r="L69" s="6"/>
      <c r="M69" s="29">
        <f t="shared" ref="M69" si="22">+(K69-K68)/K68</f>
        <v>7.5845622085037659E-3</v>
      </c>
      <c r="N69" s="29"/>
      <c r="O69" s="29"/>
      <c r="P69" s="29"/>
      <c r="Q69" s="378">
        <f t="shared" ref="Q69" si="23">+K69-K68</f>
        <v>4020</v>
      </c>
      <c r="R69" s="6"/>
      <c r="S69" s="7">
        <f>28232+10363+3408</f>
        <v>42003</v>
      </c>
      <c r="T69" s="6"/>
      <c r="U69" s="288">
        <f t="shared" ref="U69" si="24">+S69/K69</f>
        <v>7.8650822778647447E-2</v>
      </c>
      <c r="W69">
        <f t="shared" si="0"/>
        <v>59</v>
      </c>
    </row>
    <row r="70" spans="3:23" x14ac:dyDescent="0.3">
      <c r="C70" s="172">
        <f t="shared" si="1"/>
        <v>43969</v>
      </c>
      <c r="E70" s="286">
        <v>351371</v>
      </c>
      <c r="F70" s="7"/>
      <c r="G70" s="7">
        <v>148240</v>
      </c>
      <c r="H70" s="7"/>
      <c r="I70" s="7">
        <v>38116</v>
      </c>
      <c r="J70" s="289"/>
      <c r="K70" s="7">
        <f t="shared" ref="K70" si="25">SUM(E70:I70)</f>
        <v>537727</v>
      </c>
      <c r="L70" s="6"/>
      <c r="M70" s="29">
        <f t="shared" ref="M70" si="26">+(K70-K69)/K69</f>
        <v>6.8964354996966541E-3</v>
      </c>
      <c r="N70" s="29"/>
      <c r="O70" s="29"/>
      <c r="P70" s="29"/>
      <c r="Q70" s="378">
        <f t="shared" ref="Q70" si="27">+K70-K69</f>
        <v>3683</v>
      </c>
      <c r="R70" s="6"/>
      <c r="S70" s="7">
        <f>28339+10439+5862</f>
        <v>44640</v>
      </c>
      <c r="T70" s="6"/>
      <c r="U70" s="288">
        <f t="shared" ref="U70" si="28">+S70/K70</f>
        <v>8.3016102966747066E-2</v>
      </c>
      <c r="W70">
        <f t="shared" si="0"/>
        <v>60</v>
      </c>
    </row>
    <row r="71" spans="3:23" x14ac:dyDescent="0.3">
      <c r="C71" s="172">
        <f t="shared" si="1"/>
        <v>43970</v>
      </c>
      <c r="E71" s="286">
        <v>352845</v>
      </c>
      <c r="F71" s="7"/>
      <c r="G71" s="7">
        <v>149356</v>
      </c>
      <c r="H71" s="7"/>
      <c r="I71" s="7">
        <v>38430</v>
      </c>
      <c r="J71" s="289"/>
      <c r="K71" s="7">
        <f t="shared" ref="K71" si="29">SUM(E71:I71)</f>
        <v>540631</v>
      </c>
      <c r="L71" s="6"/>
      <c r="M71" s="29">
        <f t="shared" ref="M71" si="30">+(K71-K70)/K70</f>
        <v>5.4005099241808572E-3</v>
      </c>
      <c r="N71" s="29"/>
      <c r="O71" s="29"/>
      <c r="P71" s="29"/>
      <c r="Q71" s="378">
        <f t="shared" ref="Q71" si="31">+K71-K70</f>
        <v>2904</v>
      </c>
      <c r="R71" s="6"/>
      <c r="S71" s="7">
        <f>28558+10587+3472</f>
        <v>42617</v>
      </c>
      <c r="T71" s="6"/>
      <c r="U71" s="288">
        <f t="shared" ref="U71" si="32">+S71/K71</f>
        <v>7.8828258091008463E-2</v>
      </c>
      <c r="W71">
        <f t="shared" si="0"/>
        <v>61</v>
      </c>
    </row>
    <row r="72" spans="3:23" x14ac:dyDescent="0.3">
      <c r="C72" s="172">
        <f t="shared" si="1"/>
        <v>43971</v>
      </c>
      <c r="E72" s="286">
        <v>354370</v>
      </c>
      <c r="F72" s="7"/>
      <c r="G72" s="7">
        <v>150776</v>
      </c>
      <c r="H72" s="7"/>
      <c r="I72" s="7">
        <v>39017</v>
      </c>
      <c r="J72" s="289"/>
      <c r="K72" s="7">
        <f t="shared" ref="K72" si="33">SUM(E72:I72)</f>
        <v>544163</v>
      </c>
      <c r="L72" s="6"/>
      <c r="M72" s="29">
        <f t="shared" ref="M72" si="34">+(K72-K71)/K71</f>
        <v>6.5331066845963331E-3</v>
      </c>
      <c r="N72" s="29"/>
      <c r="O72" s="29"/>
      <c r="P72" s="29"/>
      <c r="Q72" s="378">
        <f t="shared" ref="Q72" si="35">+K72-K71</f>
        <v>3532</v>
      </c>
      <c r="R72" s="6"/>
      <c r="S72" s="7">
        <f>28636+10749+3529</f>
        <v>42914</v>
      </c>
      <c r="T72" s="6"/>
      <c r="U72" s="288">
        <f t="shared" ref="U72" si="36">+S72/K72</f>
        <v>7.8862399685388385E-2</v>
      </c>
      <c r="W72">
        <f t="shared" si="0"/>
        <v>62</v>
      </c>
    </row>
    <row r="73" spans="3:23" x14ac:dyDescent="0.3">
      <c r="C73" s="172">
        <f t="shared" si="1"/>
        <v>43972</v>
      </c>
      <c r="E73" s="286">
        <v>356458</v>
      </c>
      <c r="F73" s="7"/>
      <c r="G73" s="7">
        <v>151586</v>
      </c>
      <c r="H73" s="7"/>
      <c r="I73" s="7">
        <v>39208</v>
      </c>
      <c r="J73" s="289"/>
      <c r="K73" s="7">
        <f t="shared" ref="K73" si="37">SUM(E73:I73)</f>
        <v>547252</v>
      </c>
      <c r="L73" s="6"/>
      <c r="M73" s="29">
        <f t="shared" ref="M73" si="38">+(K73-K72)/K72</f>
        <v>5.6766079281391785E-3</v>
      </c>
      <c r="N73" s="29"/>
      <c r="O73" s="29"/>
      <c r="P73" s="29"/>
      <c r="Q73" s="378">
        <f t="shared" ref="Q73" si="39">+K73-K72</f>
        <v>3089</v>
      </c>
      <c r="R73" s="6"/>
      <c r="S73" s="7">
        <f>28743+10846+3583</f>
        <v>43172</v>
      </c>
      <c r="T73" s="6"/>
      <c r="U73" s="288">
        <f t="shared" ref="U73" si="40">+S73/K73</f>
        <v>7.888870209702295E-2</v>
      </c>
      <c r="W73">
        <f t="shared" si="0"/>
        <v>63</v>
      </c>
    </row>
    <row r="74" spans="3:23" x14ac:dyDescent="0.3">
      <c r="C74" s="172">
        <f t="shared" si="1"/>
        <v>43973</v>
      </c>
      <c r="E74" s="286">
        <v>358154</v>
      </c>
      <c r="F74" s="7"/>
      <c r="G74" s="7">
        <v>152579</v>
      </c>
      <c r="H74" s="7"/>
      <c r="I74" s="7">
        <v>39640</v>
      </c>
      <c r="J74" s="289"/>
      <c r="K74" s="7">
        <f t="shared" ref="K74" si="41">SUM(E74:I74)</f>
        <v>550373</v>
      </c>
      <c r="L74" s="6"/>
      <c r="M74" s="29">
        <f t="shared" ref="M74" si="42">+(K74-K73)/K73</f>
        <v>5.7030399157974752E-3</v>
      </c>
      <c r="N74" s="29"/>
      <c r="O74" s="29"/>
      <c r="P74" s="29"/>
      <c r="Q74" s="378">
        <f t="shared" ref="Q74" si="43">+K74-K73</f>
        <v>3121</v>
      </c>
      <c r="R74" s="6"/>
      <c r="S74" s="7">
        <f>28853+10985+3637</f>
        <v>43475</v>
      </c>
      <c r="T74" s="6"/>
      <c r="U74" s="288">
        <f t="shared" ref="U74" si="44">+S74/K74</f>
        <v>7.899188368615466E-2</v>
      </c>
      <c r="W74">
        <f t="shared" si="0"/>
        <v>64</v>
      </c>
    </row>
    <row r="75" spans="3:23" x14ac:dyDescent="0.3">
      <c r="C75" s="172">
        <f t="shared" si="1"/>
        <v>43974</v>
      </c>
      <c r="E75" s="286">
        <v>359926</v>
      </c>
      <c r="F75" s="7"/>
      <c r="G75" s="7">
        <v>153140</v>
      </c>
      <c r="H75" s="7"/>
      <c r="I75" s="7">
        <v>39640</v>
      </c>
      <c r="J75" s="289"/>
      <c r="K75" s="7">
        <f t="shared" ref="K75" si="45">SUM(E75:I75)</f>
        <v>552706</v>
      </c>
      <c r="L75" s="6"/>
      <c r="M75" s="29">
        <f t="shared" ref="M75" si="46">+(K75-K74)/K74</f>
        <v>4.2389434074709331E-3</v>
      </c>
      <c r="N75" s="29"/>
      <c r="O75" s="29"/>
      <c r="P75" s="29"/>
      <c r="Q75" s="378">
        <f t="shared" ref="Q75" si="47">+K75-K74</f>
        <v>2333</v>
      </c>
      <c r="R75" s="6"/>
      <c r="S75" s="7">
        <f>28926+11082+3637</f>
        <v>43645</v>
      </c>
      <c r="T75" s="6"/>
      <c r="U75" s="288">
        <f t="shared" ref="U75" si="48">+S75/K75</f>
        <v>7.896603257427999E-2</v>
      </c>
      <c r="W75">
        <f t="shared" si="0"/>
        <v>65</v>
      </c>
    </row>
    <row r="76" spans="3:23" x14ac:dyDescent="0.3">
      <c r="C76" s="172">
        <f t="shared" si="1"/>
        <v>43975</v>
      </c>
      <c r="E76" s="286">
        <v>361515</v>
      </c>
      <c r="F76" s="7"/>
      <c r="G76" s="7">
        <v>154154</v>
      </c>
      <c r="H76" s="7"/>
      <c r="I76" s="7">
        <v>40468</v>
      </c>
      <c r="J76" s="289"/>
      <c r="K76" s="7">
        <f t="shared" ref="K76" si="49">SUM(E76:I76)</f>
        <v>556137</v>
      </c>
      <c r="L76" s="6"/>
      <c r="M76" s="29">
        <f t="shared" ref="M76" si="50">+(K76-K75)/K75</f>
        <v>6.2076402282587846E-3</v>
      </c>
      <c r="N76" s="29"/>
      <c r="O76" s="29"/>
      <c r="P76" s="29"/>
      <c r="Q76" s="378">
        <f t="shared" ref="Q76" si="51">+K76-K75</f>
        <v>3431</v>
      </c>
      <c r="R76" s="6"/>
      <c r="S76" s="7">
        <f>29141+11138+3696</f>
        <v>43975</v>
      </c>
      <c r="T76" s="6"/>
      <c r="U76" s="288">
        <f t="shared" ref="U76" si="52">+S76/K76</f>
        <v>7.9072242990486152E-2</v>
      </c>
      <c r="W76">
        <f t="shared" si="0"/>
        <v>66</v>
      </c>
    </row>
    <row r="77" spans="3:23" x14ac:dyDescent="0.3">
      <c r="C77" s="172">
        <f t="shared" si="1"/>
        <v>43976</v>
      </c>
      <c r="E77" s="286">
        <v>362764</v>
      </c>
      <c r="F77" s="7"/>
      <c r="G77" s="7">
        <v>155092</v>
      </c>
      <c r="H77" s="7"/>
      <c r="I77" s="7">
        <v>40873</v>
      </c>
      <c r="J77" s="289"/>
      <c r="K77" s="7">
        <f t="shared" ref="K77" si="53">SUM(E77:I77)</f>
        <v>558729</v>
      </c>
      <c r="L77" s="6"/>
      <c r="M77" s="29">
        <f t="shared" ref="M77" si="54">+(K77-K76)/K76</f>
        <v>4.6607220882624242E-3</v>
      </c>
      <c r="N77" s="29"/>
      <c r="O77" s="29"/>
      <c r="P77" s="29"/>
      <c r="Q77" s="378">
        <f t="shared" ref="Q77" si="55">+K77-K76</f>
        <v>2592</v>
      </c>
      <c r="R77" s="6"/>
      <c r="S77" s="7">
        <f>29229+11147+3742</f>
        <v>44118</v>
      </c>
      <c r="T77" s="6"/>
      <c r="U77" s="288">
        <f t="shared" ref="U77" si="56">+S77/K77</f>
        <v>7.8961356936905008E-2</v>
      </c>
      <c r="W77">
        <f t="shared" si="0"/>
        <v>67</v>
      </c>
    </row>
    <row r="78" spans="3:23" x14ac:dyDescent="0.3">
      <c r="C78" s="172">
        <f t="shared" si="1"/>
        <v>43977</v>
      </c>
      <c r="E78" s="286">
        <v>363836</v>
      </c>
      <c r="F78" s="7"/>
      <c r="G78" s="7">
        <v>155764</v>
      </c>
      <c r="H78" s="7"/>
      <c r="I78" s="7">
        <v>41303</v>
      </c>
      <c r="J78" s="289"/>
      <c r="K78" s="7">
        <f t="shared" ref="K78" si="57">SUM(E78:I78)</f>
        <v>560903</v>
      </c>
      <c r="L78" s="6"/>
      <c r="M78" s="29">
        <f t="shared" ref="M78" si="58">+(K78-K77)/K77</f>
        <v>3.8909739784403529E-3</v>
      </c>
      <c r="N78" s="29"/>
      <c r="O78" s="29"/>
      <c r="P78" s="29"/>
      <c r="Q78" s="378">
        <f t="shared" ref="Q78" si="59">+K78-K77</f>
        <v>2174</v>
      </c>
      <c r="R78" s="6"/>
      <c r="S78" s="7">
        <f>29302+11194+3769</f>
        <v>44265</v>
      </c>
      <c r="T78" s="6"/>
      <c r="U78" s="288">
        <f t="shared" ref="U78" si="60">+S78/K78</f>
        <v>7.8917388568076827E-2</v>
      </c>
      <c r="W78">
        <f t="shared" si="0"/>
        <v>68</v>
      </c>
    </row>
    <row r="79" spans="3:23" x14ac:dyDescent="0.3">
      <c r="C79" s="172">
        <f t="shared" si="1"/>
        <v>43978</v>
      </c>
      <c r="E79" s="286">
        <v>364965</v>
      </c>
      <c r="F79" s="7"/>
      <c r="G79" s="7">
        <v>156628</v>
      </c>
      <c r="H79" s="7"/>
      <c r="I79" s="7">
        <v>41288</v>
      </c>
      <c r="J79" s="289"/>
      <c r="K79" s="7">
        <f t="shared" ref="K79" si="61">SUM(E79:I79)</f>
        <v>562881</v>
      </c>
      <c r="L79" s="6"/>
      <c r="M79" s="29">
        <f t="shared" ref="M79" si="62">+(K79-K78)/K78</f>
        <v>3.5264564461234831E-3</v>
      </c>
      <c r="N79" s="29"/>
      <c r="O79" s="29"/>
      <c r="P79" s="29"/>
      <c r="Q79" s="378">
        <f t="shared" ref="Q79" si="63">+K79-K78</f>
        <v>1978</v>
      </c>
      <c r="R79" s="6"/>
      <c r="S79" s="7">
        <f>29484+11339+3803</f>
        <v>44626</v>
      </c>
      <c r="T79" s="6"/>
      <c r="U79" s="288">
        <f t="shared" ref="U79" si="64">+S79/K79</f>
        <v>7.9281411168612897E-2</v>
      </c>
      <c r="W79">
        <f t="shared" si="0"/>
        <v>69</v>
      </c>
    </row>
    <row r="80" spans="3:23" x14ac:dyDescent="0.3">
      <c r="C80" s="172">
        <f t="shared" si="1"/>
        <v>43979</v>
      </c>
      <c r="E80" s="286">
        <v>366733</v>
      </c>
      <c r="F80" s="7"/>
      <c r="G80" s="7">
        <v>157185</v>
      </c>
      <c r="H80" s="7"/>
      <c r="I80" s="7">
        <v>41559</v>
      </c>
      <c r="J80" s="289"/>
      <c r="K80" s="7">
        <f t="shared" ref="K80" si="65">SUM(E80:I80)</f>
        <v>565477</v>
      </c>
      <c r="L80" s="6"/>
      <c r="M80" s="29">
        <f t="shared" ref="M80:M81" si="66">+(K80-K79)/K79</f>
        <v>4.6119872584080828E-3</v>
      </c>
      <c r="N80" s="29"/>
      <c r="O80" s="29"/>
      <c r="P80" s="29"/>
      <c r="Q80" s="378">
        <f t="shared" ref="Q80:Q81" si="67">+K80-K79</f>
        <v>2596</v>
      </c>
      <c r="R80" s="6"/>
      <c r="S80" s="7">
        <f>29484+11339+3803</f>
        <v>44626</v>
      </c>
      <c r="T80" s="6"/>
      <c r="U80" s="288">
        <f t="shared" ref="U80:U81" si="68">+S80/K80</f>
        <v>7.8917444918184115E-2</v>
      </c>
      <c r="W80">
        <f t="shared" si="0"/>
        <v>70</v>
      </c>
    </row>
    <row r="81" spans="3:25" x14ac:dyDescent="0.3">
      <c r="C81" s="172">
        <f t="shared" si="1"/>
        <v>43980</v>
      </c>
      <c r="E81" s="286">
        <v>368284</v>
      </c>
      <c r="F81" s="7"/>
      <c r="G81" s="7">
        <v>158844</v>
      </c>
      <c r="H81" s="7"/>
      <c r="I81" s="7">
        <v>41762</v>
      </c>
      <c r="J81" s="289"/>
      <c r="K81" s="7">
        <f t="shared" ref="K81" si="69">SUM(E81:I81)</f>
        <v>568890</v>
      </c>
      <c r="L81" s="6"/>
      <c r="M81" s="29">
        <f t="shared" si="66"/>
        <v>6.035612412175915E-3</v>
      </c>
      <c r="N81" s="29"/>
      <c r="O81" s="29"/>
      <c r="P81" s="29"/>
      <c r="Q81" s="378">
        <f t="shared" si="67"/>
        <v>3413</v>
      </c>
      <c r="R81" s="6"/>
      <c r="S81" s="7">
        <f>29646+11531+3868</f>
        <v>45045</v>
      </c>
      <c r="T81" s="6"/>
      <c r="U81" s="288">
        <f t="shared" si="68"/>
        <v>7.9180509413067549E-2</v>
      </c>
      <c r="W81">
        <f t="shared" si="0"/>
        <v>71</v>
      </c>
    </row>
    <row r="82" spans="3:25" x14ac:dyDescent="0.3">
      <c r="C82" s="172">
        <f t="shared" si="1"/>
        <v>43981</v>
      </c>
      <c r="E82" s="286">
        <v>369660</v>
      </c>
      <c r="F82" s="7"/>
      <c r="G82" s="7">
        <v>159608</v>
      </c>
      <c r="H82" s="7"/>
      <c r="I82" s="7">
        <v>42022</v>
      </c>
      <c r="J82" s="289"/>
      <c r="K82" s="7">
        <f t="shared" ref="K82" si="70">SUM(E82:I82)</f>
        <v>571290</v>
      </c>
      <c r="L82" s="6"/>
      <c r="M82" s="29">
        <f t="shared" ref="M82" si="71">+(K82-K81)/K81</f>
        <v>4.2187417602699995E-3</v>
      </c>
      <c r="N82" s="29"/>
      <c r="O82" s="29"/>
      <c r="P82" s="29"/>
      <c r="Q82" s="378">
        <f t="shared" ref="Q82" si="72">+K82-K81</f>
        <v>2400</v>
      </c>
      <c r="R82" s="6"/>
      <c r="S82" s="7">
        <f>29646+11531+3868</f>
        <v>45045</v>
      </c>
      <c r="T82" s="6"/>
      <c r="U82" s="288">
        <f t="shared" ref="U82" si="73">+S82/K82</f>
        <v>7.8847870608622597E-2</v>
      </c>
      <c r="W82">
        <f t="shared" si="0"/>
        <v>72</v>
      </c>
    </row>
    <row r="83" spans="3:25" x14ac:dyDescent="0.3">
      <c r="C83" s="172">
        <f t="shared" si="1"/>
        <v>43982</v>
      </c>
      <c r="E83" s="286">
        <v>370770</v>
      </c>
      <c r="F83" s="7"/>
      <c r="G83" s="7">
        <v>160445</v>
      </c>
      <c r="H83" s="7"/>
      <c r="I83" s="7">
        <v>42201</v>
      </c>
      <c r="J83" s="289"/>
      <c r="K83" s="7">
        <f t="shared" ref="K83" si="74">SUM(E83:I83)</f>
        <v>573416</v>
      </c>
      <c r="L83" s="6"/>
      <c r="M83" s="29">
        <f t="shared" ref="M83" si="75">+(K83-K82)/K82</f>
        <v>3.7214024400917221E-3</v>
      </c>
      <c r="N83" s="29"/>
      <c r="O83" s="29"/>
      <c r="P83" s="29"/>
      <c r="Q83" s="378">
        <f t="shared" ref="Q83" si="76">+K83-K82</f>
        <v>2126</v>
      </c>
      <c r="R83" s="6"/>
      <c r="S83" s="7">
        <f>29784+11698+3944</f>
        <v>45426</v>
      </c>
      <c r="T83" s="6"/>
      <c r="U83" s="288">
        <f t="shared" ref="U83" si="77">+S83/K83</f>
        <v>7.9219972934135074E-2</v>
      </c>
      <c r="W83">
        <f t="shared" si="0"/>
        <v>73</v>
      </c>
    </row>
    <row r="84" spans="3:25" x14ac:dyDescent="0.3">
      <c r="C84" s="172">
        <f t="shared" si="1"/>
        <v>43983</v>
      </c>
      <c r="E84" s="286">
        <v>371711</v>
      </c>
      <c r="F84" s="7"/>
      <c r="G84" s="7">
        <v>160918</v>
      </c>
      <c r="H84" s="7"/>
      <c r="I84" s="7">
        <v>42201</v>
      </c>
      <c r="J84" s="289"/>
      <c r="K84" s="7">
        <f t="shared" ref="K84" si="78">SUM(E84:I84)</f>
        <v>574830</v>
      </c>
      <c r="L84" s="6"/>
      <c r="M84" s="29">
        <f t="shared" ref="M84" si="79">+(K84-K83)/K83</f>
        <v>2.4659235180043808E-3</v>
      </c>
      <c r="N84" s="29"/>
      <c r="O84" s="29"/>
      <c r="P84" s="29"/>
      <c r="Q84" s="378">
        <f t="shared" ref="Q84" si="80">+K84-K83</f>
        <v>1414</v>
      </c>
      <c r="R84" s="6"/>
      <c r="S84" s="7">
        <f>29833+11723+3971</f>
        <v>45527</v>
      </c>
      <c r="T84" s="6"/>
      <c r="U84" s="288">
        <f t="shared" ref="U84" si="81">+S84/K84</f>
        <v>7.9200807195170753E-2</v>
      </c>
      <c r="W84">
        <f t="shared" si="0"/>
        <v>74</v>
      </c>
    </row>
    <row r="85" spans="3:25" x14ac:dyDescent="0.3">
      <c r="C85" s="172">
        <f t="shared" si="1"/>
        <v>43984</v>
      </c>
      <c r="E85" s="286">
        <v>373040</v>
      </c>
      <c r="F85" s="7"/>
      <c r="G85" s="7">
        <v>161545</v>
      </c>
      <c r="H85" s="7"/>
      <c r="I85" s="7">
        <v>42979</v>
      </c>
      <c r="J85" s="289"/>
      <c r="K85" s="7">
        <f t="shared" ref="K85" si="82">SUM(E85:I85)</f>
        <v>577564</v>
      </c>
      <c r="L85" s="6"/>
      <c r="M85" s="29">
        <f t="shared" ref="M85" si="83">+(K85-K84)/K84</f>
        <v>4.7561887862498479E-3</v>
      </c>
      <c r="N85" s="29"/>
      <c r="O85" s="29"/>
      <c r="P85" s="29"/>
      <c r="Q85" s="378">
        <f t="shared" ref="Q85" si="84">+K85-K84</f>
        <v>2734</v>
      </c>
      <c r="R85" s="6"/>
      <c r="S85" s="7">
        <f>29968+11771+3972</f>
        <v>45711</v>
      </c>
      <c r="T85" s="6"/>
      <c r="U85" s="288">
        <f t="shared" ref="U85" si="85">+S85/K85</f>
        <v>7.9144475763724881E-2</v>
      </c>
      <c r="W85">
        <f t="shared" si="0"/>
        <v>75</v>
      </c>
    </row>
    <row r="86" spans="3:25" x14ac:dyDescent="0.3">
      <c r="C86" s="172">
        <f t="shared" si="1"/>
        <v>43985</v>
      </c>
      <c r="E86" s="286">
        <v>374085</v>
      </c>
      <c r="F86" s="7"/>
      <c r="G86" s="7">
        <v>162068</v>
      </c>
      <c r="H86" s="7"/>
      <c r="I86" s="7">
        <v>43091</v>
      </c>
      <c r="J86" s="289"/>
      <c r="K86" s="7">
        <f t="shared" ref="K86:K87" si="86">SUM(E86:I86)</f>
        <v>579244</v>
      </c>
      <c r="L86" s="6"/>
      <c r="M86" s="29">
        <f t="shared" ref="M86" si="87">+(K86-K85)/K85</f>
        <v>2.9087685520565688E-3</v>
      </c>
      <c r="N86" s="29"/>
      <c r="O86" s="29"/>
      <c r="P86" s="29"/>
      <c r="Q86" s="378">
        <f t="shared" ref="Q86" si="88">+K86-K85</f>
        <v>1680</v>
      </c>
      <c r="R86" s="6"/>
      <c r="S86" s="7">
        <f>30019+11880+3989</f>
        <v>45888</v>
      </c>
      <c r="T86" s="6"/>
      <c r="U86" s="288">
        <f t="shared" ref="U86" si="89">+S86/K86</f>
        <v>7.9220501205018959E-2</v>
      </c>
      <c r="W86">
        <f t="shared" si="0"/>
        <v>76</v>
      </c>
    </row>
    <row r="87" spans="3:25" x14ac:dyDescent="0.3">
      <c r="C87" s="172">
        <f t="shared" si="1"/>
        <v>43986</v>
      </c>
      <c r="E87" s="286">
        <v>375133</v>
      </c>
      <c r="F87" s="7"/>
      <c r="G87" s="7">
        <v>162530</v>
      </c>
      <c r="H87" s="7"/>
      <c r="I87" s="7">
        <v>43239</v>
      </c>
      <c r="J87" s="289"/>
      <c r="K87" s="7">
        <f t="shared" si="86"/>
        <v>580902</v>
      </c>
      <c r="L87" s="6"/>
      <c r="M87" s="29">
        <f t="shared" ref="M87" si="90">+(K87-K86)/K86</f>
        <v>2.8623516169351774E-3</v>
      </c>
      <c r="N87" s="29"/>
      <c r="O87" s="29"/>
      <c r="P87" s="29"/>
      <c r="Q87" s="378">
        <f t="shared" ref="Q87" si="91">+K87-K86</f>
        <v>1658</v>
      </c>
      <c r="R87" s="6"/>
      <c r="S87" s="7">
        <f>30090+11970+4007</f>
        <v>46067</v>
      </c>
      <c r="T87" s="6"/>
      <c r="U87" s="288">
        <f t="shared" ref="U87" si="92">+S87/K87</f>
        <v>7.9302532957366306E-2</v>
      </c>
      <c r="W87">
        <f t="shared" si="0"/>
        <v>77</v>
      </c>
    </row>
    <row r="88" spans="3:25" x14ac:dyDescent="0.3">
      <c r="C88" s="172">
        <f t="shared" si="1"/>
        <v>43987</v>
      </c>
      <c r="E88" s="286">
        <v>376208</v>
      </c>
      <c r="F88" s="7"/>
      <c r="G88" s="7">
        <v>163336</v>
      </c>
      <c r="H88" s="7"/>
      <c r="I88" s="7">
        <v>43460</v>
      </c>
      <c r="J88" s="289"/>
      <c r="K88" s="7">
        <f t="shared" ref="K88" si="93">SUM(E88:I88)</f>
        <v>583004</v>
      </c>
      <c r="L88" s="6"/>
      <c r="M88" s="29">
        <f t="shared" ref="M88" si="94">+(K88-K87)/K87</f>
        <v>3.6185105232896426E-3</v>
      </c>
      <c r="N88" s="29"/>
      <c r="O88" s="29"/>
      <c r="P88" s="29"/>
      <c r="Q88" s="378">
        <f t="shared" ref="Q88" si="95">+K88-K87</f>
        <v>2102</v>
      </c>
      <c r="R88" s="6"/>
      <c r="S88" s="7">
        <f>30236+12049+4038</f>
        <v>46323</v>
      </c>
      <c r="T88" s="6"/>
      <c r="U88" s="288">
        <f t="shared" ref="U88" si="96">+S88/K88</f>
        <v>7.9455715569704502E-2</v>
      </c>
      <c r="W88">
        <f t="shared" si="0"/>
        <v>78</v>
      </c>
    </row>
    <row r="89" spans="3:25" x14ac:dyDescent="0.3">
      <c r="C89" s="172">
        <f t="shared" si="1"/>
        <v>43988</v>
      </c>
      <c r="E89" s="286">
        <v>377316</v>
      </c>
      <c r="F89" s="7"/>
      <c r="G89" s="7">
        <v>163893</v>
      </c>
      <c r="H89" s="7"/>
      <c r="I89" s="7">
        <v>43818</v>
      </c>
      <c r="J89" s="289"/>
      <c r="K89" s="7">
        <f t="shared" ref="K89" si="97">SUM(E89:I89)</f>
        <v>585027</v>
      </c>
      <c r="L89" s="6"/>
      <c r="M89" s="29">
        <f t="shared" ref="M89" si="98">+(K89-K88)/K88</f>
        <v>3.4699590397321458E-3</v>
      </c>
      <c r="N89" s="29"/>
      <c r="O89" s="29"/>
      <c r="P89" s="29"/>
      <c r="Q89" s="378">
        <f t="shared" ref="Q89" si="99">+K89-K88</f>
        <v>2023</v>
      </c>
      <c r="R89" s="6"/>
      <c r="S89" s="7">
        <f>30280+12106+4055</f>
        <v>46441</v>
      </c>
      <c r="T89" s="6"/>
      <c r="U89" s="288">
        <f t="shared" ref="U89" si="100">+S89/K89</f>
        <v>7.9382660971203042E-2</v>
      </c>
      <c r="W89">
        <f t="shared" si="0"/>
        <v>79</v>
      </c>
      <c r="X89" s="56">
        <f>SUM(Q83:Q89)</f>
        <v>13737</v>
      </c>
      <c r="Y89">
        <v>7</v>
      </c>
    </row>
    <row r="90" spans="3:25" x14ac:dyDescent="0.3">
      <c r="C90" s="172">
        <f t="shared" si="1"/>
        <v>43989</v>
      </c>
      <c r="E90" s="286">
        <v>378097</v>
      </c>
      <c r="F90" s="7"/>
      <c r="G90" s="7">
        <v>164164</v>
      </c>
      <c r="H90" s="7"/>
      <c r="I90" s="7">
        <v>43968</v>
      </c>
      <c r="J90" s="289"/>
      <c r="K90" s="7">
        <f t="shared" ref="K90" si="101">SUM(E90:I90)</f>
        <v>586229</v>
      </c>
      <c r="L90" s="6"/>
      <c r="M90" s="478">
        <f t="shared" ref="M90" si="102">+(K90-K89)/K89</f>
        <v>2.0546060267303901E-3</v>
      </c>
      <c r="N90" s="29"/>
      <c r="O90" s="29"/>
      <c r="P90" s="29"/>
      <c r="Q90" s="378">
        <f t="shared" ref="Q90" si="103">+K90-K89</f>
        <v>1202</v>
      </c>
      <c r="R90" s="6"/>
      <c r="S90" s="7">
        <f>30374+12176+4071</f>
        <v>46621</v>
      </c>
      <c r="T90" s="6"/>
      <c r="U90" s="288">
        <f t="shared" ref="U90" si="104">+S90/K90</f>
        <v>7.9526942542931175E-2</v>
      </c>
      <c r="W90">
        <f t="shared" si="0"/>
        <v>80</v>
      </c>
      <c r="Y90">
        <f>+X89/Y89</f>
        <v>1962.4285714285713</v>
      </c>
    </row>
    <row r="91" spans="3:25" x14ac:dyDescent="0.3">
      <c r="C91" s="172">
        <f t="shared" si="1"/>
        <v>43990</v>
      </c>
      <c r="E91" s="286">
        <v>378799</v>
      </c>
      <c r="F91" s="7"/>
      <c r="G91" s="7">
        <v>164497</v>
      </c>
      <c r="H91" s="7"/>
      <c r="I91" s="7">
        <v>44093</v>
      </c>
      <c r="J91" s="289"/>
      <c r="K91" s="7">
        <f t="shared" ref="K91" si="105">SUM(E91:I91)</f>
        <v>587389</v>
      </c>
      <c r="L91" s="6"/>
      <c r="M91" s="478">
        <f t="shared" ref="M91" si="106">+(K91-K90)/K90</f>
        <v>1.978748918937821E-3</v>
      </c>
      <c r="N91" s="29"/>
      <c r="O91" s="29"/>
      <c r="P91" s="29"/>
      <c r="Q91" s="378">
        <f t="shared" ref="Q91" si="107">+K91-K90</f>
        <v>1160</v>
      </c>
      <c r="R91" s="6"/>
      <c r="S91" s="7">
        <f>30417+12214+4084</f>
        <v>46715</v>
      </c>
      <c r="T91" s="6"/>
      <c r="U91" s="288">
        <f t="shared" ref="U91" si="108">+S91/K91</f>
        <v>7.952991969546587E-2</v>
      </c>
      <c r="W91">
        <f t="shared" si="0"/>
        <v>81</v>
      </c>
    </row>
    <row r="92" spans="3:25" x14ac:dyDescent="0.3">
      <c r="C92" s="172">
        <f t="shared" si="1"/>
        <v>43991</v>
      </c>
      <c r="E92" s="286"/>
      <c r="F92" s="7"/>
      <c r="G92" s="7"/>
      <c r="H92" s="7"/>
      <c r="I92" s="7"/>
      <c r="J92" s="289"/>
      <c r="K92" s="7"/>
      <c r="L92" s="6"/>
      <c r="M92" s="29"/>
      <c r="N92" s="29"/>
      <c r="O92" s="29"/>
      <c r="P92" s="29"/>
      <c r="Q92" s="378"/>
      <c r="R92" s="6"/>
      <c r="S92" s="7"/>
      <c r="T92" s="6"/>
      <c r="U92" s="288"/>
      <c r="W92">
        <f t="shared" si="0"/>
        <v>82</v>
      </c>
    </row>
    <row r="93" spans="3:25" x14ac:dyDescent="0.3">
      <c r="C93" s="172">
        <f t="shared" si="1"/>
        <v>43992</v>
      </c>
      <c r="E93" s="286"/>
      <c r="F93" s="7"/>
      <c r="G93" s="7"/>
      <c r="H93" s="7"/>
      <c r="I93" s="7"/>
      <c r="J93" s="289"/>
      <c r="K93" s="7"/>
      <c r="L93" s="6"/>
      <c r="M93" s="29"/>
      <c r="N93" s="29"/>
      <c r="O93" s="29"/>
      <c r="P93" s="29"/>
      <c r="Q93" s="378"/>
      <c r="R93" s="6"/>
      <c r="S93" s="7"/>
      <c r="T93" s="6"/>
      <c r="U93" s="288"/>
      <c r="W93">
        <f t="shared" si="0"/>
        <v>83</v>
      </c>
    </row>
    <row r="94" spans="3:25" x14ac:dyDescent="0.3">
      <c r="C94" s="172">
        <f t="shared" si="1"/>
        <v>43993</v>
      </c>
      <c r="E94" s="286"/>
      <c r="F94" s="7"/>
      <c r="G94" s="7"/>
      <c r="H94" s="7"/>
      <c r="I94" s="7"/>
      <c r="J94" s="289"/>
      <c r="K94" s="7"/>
      <c r="L94" s="6"/>
      <c r="M94" s="29"/>
      <c r="N94" s="29"/>
      <c r="O94" s="29"/>
      <c r="P94" s="29"/>
      <c r="Q94" s="378"/>
      <c r="R94" s="6"/>
      <c r="S94" s="7"/>
      <c r="T94" s="6"/>
      <c r="U94" s="288"/>
      <c r="W94">
        <f t="shared" si="0"/>
        <v>84</v>
      </c>
    </row>
    <row r="95" spans="3:25" x14ac:dyDescent="0.3">
      <c r="C95" s="172">
        <f t="shared" si="1"/>
        <v>43994</v>
      </c>
      <c r="E95" s="286"/>
      <c r="F95" s="7"/>
      <c r="G95" s="7"/>
      <c r="H95" s="7"/>
      <c r="I95" s="7"/>
      <c r="J95" s="289"/>
      <c r="K95" s="7"/>
      <c r="L95" s="6"/>
      <c r="M95" s="29"/>
      <c r="N95" s="29"/>
      <c r="O95" s="29"/>
      <c r="P95" s="29"/>
      <c r="Q95" s="378"/>
      <c r="R95" s="6"/>
      <c r="S95" s="7"/>
      <c r="T95" s="6"/>
      <c r="U95" s="288"/>
      <c r="W95">
        <f t="shared" si="0"/>
        <v>85</v>
      </c>
    </row>
    <row r="96" spans="3:25" x14ac:dyDescent="0.3">
      <c r="C96" s="172">
        <f t="shared" si="1"/>
        <v>43995</v>
      </c>
      <c r="E96" s="286"/>
      <c r="F96" s="7"/>
      <c r="G96" s="7"/>
      <c r="H96" s="7"/>
      <c r="I96" s="7"/>
      <c r="J96" s="289"/>
      <c r="K96" s="7"/>
      <c r="L96" s="6"/>
      <c r="M96" s="29"/>
      <c r="N96" s="29"/>
      <c r="O96" s="29"/>
      <c r="P96" s="29"/>
      <c r="Q96" s="378"/>
      <c r="R96" s="6"/>
      <c r="S96" s="7"/>
      <c r="T96" s="6"/>
      <c r="U96" s="288"/>
      <c r="W96">
        <f t="shared" si="0"/>
        <v>86</v>
      </c>
      <c r="Y96" s="56">
        <f>+Q89-Y90</f>
        <v>60.571428571428669</v>
      </c>
    </row>
    <row r="97" spans="3:41" ht="15" thickBot="1" x14ac:dyDescent="0.35">
      <c r="C97" s="172">
        <f t="shared" si="1"/>
        <v>43996</v>
      </c>
      <c r="E97" s="290"/>
      <c r="F97" s="291"/>
      <c r="G97" s="291"/>
      <c r="H97" s="291"/>
      <c r="I97" s="291"/>
      <c r="J97" s="291"/>
      <c r="K97" s="291"/>
      <c r="L97" s="292"/>
      <c r="M97" s="293"/>
      <c r="N97" s="293"/>
      <c r="O97" s="293"/>
      <c r="P97" s="293"/>
      <c r="Q97" s="377"/>
      <c r="R97" s="292"/>
      <c r="S97" s="292"/>
      <c r="T97" s="292"/>
      <c r="U97" s="294"/>
      <c r="W97">
        <f t="shared" si="0"/>
        <v>87</v>
      </c>
      <c r="Y97" s="59">
        <f>+Y96/Y90</f>
        <v>3.0865545606755529E-2</v>
      </c>
    </row>
    <row r="98" spans="3:41" x14ac:dyDescent="0.3">
      <c r="E98" s="56"/>
      <c r="F98" s="1"/>
      <c r="G98" s="56"/>
      <c r="H98" s="56"/>
      <c r="I98" s="56"/>
      <c r="J98" s="1"/>
      <c r="K98" s="56"/>
      <c r="S98" s="56"/>
    </row>
    <row r="99" spans="3:41" x14ac:dyDescent="0.3">
      <c r="C99" s="181" t="s">
        <v>83</v>
      </c>
      <c r="E99" s="56">
        <f>+E91</f>
        <v>378799</v>
      </c>
      <c r="F99" s="56">
        <f>+F52</f>
        <v>0</v>
      </c>
      <c r="G99" s="56">
        <f t="shared" ref="G99:S99" si="109">+G91</f>
        <v>164497</v>
      </c>
      <c r="H99" s="56">
        <f t="shared" si="109"/>
        <v>0</v>
      </c>
      <c r="I99" s="56">
        <f t="shared" si="109"/>
        <v>44093</v>
      </c>
      <c r="J99" s="56">
        <f t="shared" si="109"/>
        <v>0</v>
      </c>
      <c r="K99" s="56">
        <f t="shared" si="109"/>
        <v>587389</v>
      </c>
      <c r="L99" s="56">
        <f t="shared" si="109"/>
        <v>0</v>
      </c>
      <c r="M99" s="56">
        <f t="shared" si="109"/>
        <v>1.978748918937821E-3</v>
      </c>
      <c r="N99" s="56">
        <f t="shared" si="109"/>
        <v>0</v>
      </c>
      <c r="O99" s="56">
        <f t="shared" si="109"/>
        <v>0</v>
      </c>
      <c r="P99" s="56">
        <f t="shared" si="109"/>
        <v>0</v>
      </c>
      <c r="Q99" s="56">
        <f t="shared" si="109"/>
        <v>1160</v>
      </c>
      <c r="R99" s="56">
        <f t="shared" si="109"/>
        <v>0</v>
      </c>
      <c r="S99" s="56">
        <f t="shared" si="109"/>
        <v>46715</v>
      </c>
      <c r="T99" s="56">
        <f>+T60</f>
        <v>0</v>
      </c>
    </row>
    <row r="100" spans="3:41" x14ac:dyDescent="0.3">
      <c r="E100" s="56"/>
      <c r="G100" s="56"/>
      <c r="H100" s="56"/>
      <c r="I100" s="56"/>
      <c r="J100" s="56"/>
      <c r="K100" s="56"/>
      <c r="L100" s="56"/>
      <c r="M100" s="59"/>
      <c r="N100" s="56"/>
      <c r="O100" s="56"/>
      <c r="P100" s="56"/>
      <c r="Q100" s="56"/>
      <c r="R100" s="56"/>
      <c r="S100" s="56"/>
    </row>
    <row r="101" spans="3:41" x14ac:dyDescent="0.3">
      <c r="E101" s="59"/>
      <c r="K101" s="1"/>
    </row>
    <row r="102" spans="3:41" x14ac:dyDescent="0.3">
      <c r="C102" s="123"/>
      <c r="D102" s="124"/>
      <c r="E102" s="395"/>
      <c r="F102" s="10"/>
      <c r="G102" s="10"/>
      <c r="H102" s="10"/>
      <c r="I102" s="61"/>
      <c r="J102" s="10"/>
      <c r="K102" s="10"/>
      <c r="L102" s="10"/>
      <c r="M102" s="10"/>
      <c r="N102" s="10"/>
      <c r="O102" s="10"/>
      <c r="P102" s="10"/>
      <c r="Q102" s="395"/>
      <c r="R102" s="10"/>
      <c r="S102" s="10"/>
    </row>
    <row r="103" spans="3:41" x14ac:dyDescent="0.3">
      <c r="E103" s="56"/>
      <c r="K103" s="56"/>
      <c r="Q103" s="56"/>
    </row>
    <row r="104" spans="3:41" x14ac:dyDescent="0.3">
      <c r="Q104" s="56"/>
      <c r="S104" s="59"/>
    </row>
    <row r="107" spans="3:41" x14ac:dyDescent="0.3">
      <c r="AO107" s="1">
        <v>3797000</v>
      </c>
    </row>
    <row r="108" spans="3:41" x14ac:dyDescent="0.3">
      <c r="C108" s="1"/>
    </row>
    <row r="109" spans="3:41" x14ac:dyDescent="0.3">
      <c r="C109" s="1"/>
      <c r="AO109" s="1">
        <v>30000</v>
      </c>
    </row>
    <row r="110" spans="3:41" x14ac:dyDescent="0.3">
      <c r="C110" s="59"/>
    </row>
    <row r="111" spans="3:41" x14ac:dyDescent="0.3">
      <c r="AO111" s="279">
        <f>+AO109/AO107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C119"/>
  <sheetViews>
    <sheetView topLeftCell="A10" workbookViewId="0">
      <selection activeCell="F52" sqref="F52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1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3.109375" customWidth="1"/>
    <col min="19" max="19" width="2.33203125" customWidth="1"/>
    <col min="21" max="21" width="2.21875" customWidth="1"/>
    <col min="22" max="22" width="14.6640625" bestFit="1" customWidth="1"/>
    <col min="23" max="23" width="1.88671875" customWidth="1"/>
    <col min="25" max="25" width="2" customWidth="1"/>
    <col min="27" max="27" width="2.33203125" customWidth="1"/>
    <col min="28" max="28" width="1.88671875" customWidth="1"/>
    <col min="29" max="29" width="2.44140625" customWidth="1"/>
  </cols>
  <sheetData>
    <row r="1" spans="2:29" ht="15.6" x14ac:dyDescent="0.3">
      <c r="B1" s="260" t="s">
        <v>5</v>
      </c>
      <c r="C1" s="260"/>
      <c r="D1" s="260"/>
    </row>
    <row r="2" spans="2:29" ht="16.2" thickBot="1" x14ac:dyDescent="0.35">
      <c r="B2" s="260" t="s">
        <v>6</v>
      </c>
      <c r="C2" s="260"/>
      <c r="D2" s="260"/>
    </row>
    <row r="3" spans="2:29" ht="16.2" thickBot="1" x14ac:dyDescent="0.35">
      <c r="B3" s="258" t="s">
        <v>13</v>
      </c>
      <c r="C3" s="258"/>
      <c r="D3" s="168"/>
      <c r="S3" s="590" t="s">
        <v>116</v>
      </c>
      <c r="T3" s="591"/>
      <c r="U3" s="591"/>
      <c r="V3" s="591"/>
      <c r="W3" s="591"/>
      <c r="X3" s="591"/>
      <c r="Y3" s="591"/>
      <c r="Z3" s="591"/>
      <c r="AA3" s="591"/>
      <c r="AB3" s="591"/>
      <c r="AC3" s="592"/>
    </row>
    <row r="4" spans="2:29" ht="15.6" x14ac:dyDescent="0.3">
      <c r="B4" s="258"/>
      <c r="C4" s="258"/>
      <c r="D4" s="168"/>
      <c r="S4" s="295"/>
      <c r="T4" s="396" t="s">
        <v>80</v>
      </c>
      <c r="U4" s="6"/>
      <c r="V4" s="396" t="s">
        <v>108</v>
      </c>
      <c r="W4" s="5"/>
      <c r="X4" s="396" t="s">
        <v>109</v>
      </c>
      <c r="Y4" s="5"/>
      <c r="Z4" s="396" t="s">
        <v>75</v>
      </c>
      <c r="AA4" s="6"/>
      <c r="AB4" s="296" t="s">
        <v>15</v>
      </c>
      <c r="AC4" s="297"/>
    </row>
    <row r="5" spans="2:29" ht="15.6" x14ac:dyDescent="0.3">
      <c r="B5" s="258"/>
      <c r="C5" t="s">
        <v>94</v>
      </c>
      <c r="D5" s="168"/>
      <c r="E5" t="s">
        <v>95</v>
      </c>
      <c r="S5" s="295"/>
      <c r="T5" s="6"/>
      <c r="U5" s="6"/>
      <c r="V5" s="6"/>
      <c r="W5" s="6"/>
      <c r="X5" s="6"/>
      <c r="Y5" s="6"/>
      <c r="Z5" s="6"/>
      <c r="AA5" s="6"/>
      <c r="AB5" s="6"/>
      <c r="AC5" s="297"/>
    </row>
    <row r="6" spans="2:29" ht="15.6" x14ac:dyDescent="0.3">
      <c r="B6" s="258"/>
      <c r="C6" s="258"/>
      <c r="D6" s="171"/>
      <c r="E6" t="s">
        <v>96</v>
      </c>
      <c r="F6" t="s">
        <v>113</v>
      </c>
      <c r="S6" s="295"/>
      <c r="T6" s="298">
        <v>43951</v>
      </c>
      <c r="U6" s="6"/>
      <c r="V6" s="7">
        <v>427734</v>
      </c>
      <c r="W6" s="6"/>
      <c r="X6" s="44">
        <v>0.39100000000000001</v>
      </c>
      <c r="Y6" s="6"/>
      <c r="Z6" s="6"/>
      <c r="AA6" s="6"/>
      <c r="AB6" s="6"/>
      <c r="AC6" s="297"/>
    </row>
    <row r="7" spans="2:29" ht="15.6" x14ac:dyDescent="0.3">
      <c r="B7" s="258"/>
      <c r="C7" s="258"/>
      <c r="D7" s="171"/>
      <c r="E7" t="s">
        <v>97</v>
      </c>
      <c r="F7" t="s">
        <v>99</v>
      </c>
      <c r="S7" s="295"/>
      <c r="T7" s="298">
        <f>+T6+1</f>
        <v>43952</v>
      </c>
      <c r="U7" s="6"/>
      <c r="V7" s="7">
        <v>432831</v>
      </c>
      <c r="W7" s="6"/>
      <c r="X7" s="44">
        <v>0.38300000000000001</v>
      </c>
      <c r="Y7" s="6"/>
      <c r="Z7" s="300">
        <f t="shared" ref="Z7:Z19" si="0">+V6-V7</f>
        <v>-5097</v>
      </c>
      <c r="AA7" s="6"/>
      <c r="AB7" s="6"/>
      <c r="AC7" s="297"/>
    </row>
    <row r="8" spans="2:29" ht="15.6" x14ac:dyDescent="0.3">
      <c r="B8" s="258"/>
      <c r="C8" s="258"/>
      <c r="D8" s="171"/>
      <c r="E8" t="s">
        <v>98</v>
      </c>
      <c r="F8" t="s">
        <v>114</v>
      </c>
      <c r="S8" s="295"/>
      <c r="T8" s="298">
        <f t="shared" ref="T8:T50" si="1">+T7+1</f>
        <v>43953</v>
      </c>
      <c r="U8" s="6"/>
      <c r="V8" s="7">
        <v>433512</v>
      </c>
      <c r="W8" s="6"/>
      <c r="X8" s="44">
        <v>0.373</v>
      </c>
      <c r="Y8" s="6"/>
      <c r="Z8" s="300">
        <f t="shared" si="0"/>
        <v>-681</v>
      </c>
      <c r="AA8" s="6"/>
      <c r="AB8" s="6"/>
      <c r="AC8" s="297"/>
    </row>
    <row r="9" spans="2:29" ht="15.6" x14ac:dyDescent="0.3">
      <c r="B9" s="258"/>
      <c r="C9" s="258"/>
      <c r="D9" s="171"/>
      <c r="R9" s="476"/>
      <c r="S9" s="295"/>
      <c r="T9" s="298">
        <f t="shared" si="1"/>
        <v>43954</v>
      </c>
      <c r="U9" s="6"/>
      <c r="V9" s="7">
        <v>434345</v>
      </c>
      <c r="W9" s="6"/>
      <c r="X9" s="44">
        <v>0.36599999999999999</v>
      </c>
      <c r="Y9" s="6"/>
      <c r="Z9" s="300">
        <f t="shared" si="0"/>
        <v>-833</v>
      </c>
      <c r="AA9" s="6"/>
      <c r="AB9" s="6"/>
      <c r="AC9" s="297"/>
    </row>
    <row r="10" spans="2:29" ht="15.6" x14ac:dyDescent="0.3">
      <c r="B10" s="258"/>
      <c r="C10" s="280" t="s">
        <v>100</v>
      </c>
      <c r="D10" s="171"/>
      <c r="E10" t="s">
        <v>103</v>
      </c>
      <c r="S10" s="295"/>
      <c r="T10" s="298">
        <f t="shared" si="1"/>
        <v>43955</v>
      </c>
      <c r="U10" s="6"/>
      <c r="V10" s="7">
        <v>458962</v>
      </c>
      <c r="W10" s="6"/>
      <c r="X10" s="44">
        <v>0.378</v>
      </c>
      <c r="Y10" s="6"/>
      <c r="Z10" s="300">
        <f t="shared" si="0"/>
        <v>-24617</v>
      </c>
      <c r="AA10" s="6"/>
      <c r="AB10" s="6"/>
      <c r="AC10" s="297"/>
    </row>
    <row r="11" spans="2:29" ht="15.6" x14ac:dyDescent="0.3">
      <c r="B11" s="258"/>
      <c r="C11" s="258"/>
      <c r="D11" s="171"/>
      <c r="E11" t="s">
        <v>96</v>
      </c>
      <c r="F11" t="s">
        <v>101</v>
      </c>
      <c r="S11" s="295"/>
      <c r="T11" s="298">
        <f t="shared" si="1"/>
        <v>43956</v>
      </c>
      <c r="U11" s="6"/>
      <c r="V11" s="299">
        <v>455743</v>
      </c>
      <c r="W11" s="6"/>
      <c r="X11" s="44">
        <v>0.36799999999999999</v>
      </c>
      <c r="Y11" s="6"/>
      <c r="Z11" s="300">
        <f t="shared" si="0"/>
        <v>3219</v>
      </c>
      <c r="AA11" s="6"/>
      <c r="AB11" s="304"/>
      <c r="AC11" s="297"/>
    </row>
    <row r="12" spans="2:29" ht="15.6" x14ac:dyDescent="0.3">
      <c r="B12" s="258"/>
      <c r="C12" s="258"/>
      <c r="D12" s="171"/>
      <c r="E12" t="s">
        <v>97</v>
      </c>
      <c r="F12" t="s">
        <v>102</v>
      </c>
      <c r="S12" s="295"/>
      <c r="T12" s="298">
        <f t="shared" si="1"/>
        <v>43957</v>
      </c>
      <c r="U12" s="6"/>
      <c r="V12" s="299">
        <v>454697</v>
      </c>
      <c r="W12" s="6"/>
      <c r="X12" s="44">
        <f>+L$36</f>
        <v>0.15013593546734191</v>
      </c>
      <c r="Y12" s="6"/>
      <c r="Z12" s="300">
        <f t="shared" si="0"/>
        <v>1046</v>
      </c>
      <c r="AA12" s="6"/>
      <c r="AB12" s="304"/>
      <c r="AC12" s="297"/>
    </row>
    <row r="13" spans="2:29" ht="15.6" x14ac:dyDescent="0.3">
      <c r="B13" s="258"/>
      <c r="C13" s="258"/>
      <c r="D13" s="171"/>
      <c r="S13" s="295"/>
      <c r="T13" s="298">
        <f t="shared" si="1"/>
        <v>43958</v>
      </c>
      <c r="U13" s="6"/>
      <c r="V13" s="299">
        <v>454838</v>
      </c>
      <c r="W13" s="6"/>
      <c r="X13" s="44">
        <f t="shared" ref="X13:X14" si="2">+L37</f>
        <v>0</v>
      </c>
      <c r="Y13" s="6"/>
      <c r="Z13" s="300">
        <f t="shared" si="0"/>
        <v>-141</v>
      </c>
      <c r="AA13" s="6"/>
      <c r="AB13" s="304"/>
      <c r="AC13" s="297"/>
    </row>
    <row r="14" spans="2:29" ht="15.6" x14ac:dyDescent="0.3">
      <c r="B14" s="258"/>
      <c r="C14" s="280" t="s">
        <v>104</v>
      </c>
      <c r="D14" s="171"/>
      <c r="E14" t="s">
        <v>105</v>
      </c>
      <c r="S14" s="295"/>
      <c r="T14" s="298">
        <f t="shared" si="1"/>
        <v>43959</v>
      </c>
      <c r="U14" s="6"/>
      <c r="V14" s="299">
        <v>452043</v>
      </c>
      <c r="W14" s="6"/>
      <c r="X14" s="44">
        <f t="shared" si="2"/>
        <v>0</v>
      </c>
      <c r="Y14" s="6"/>
      <c r="Z14" s="300">
        <f t="shared" si="0"/>
        <v>2795</v>
      </c>
      <c r="AA14" s="6"/>
      <c r="AB14" s="304"/>
      <c r="AC14" s="297"/>
    </row>
    <row r="15" spans="2:29" x14ac:dyDescent="0.3">
      <c r="B15" s="258"/>
      <c r="E15" s="593" t="s">
        <v>106</v>
      </c>
      <c r="F15" s="593"/>
      <c r="G15" s="593"/>
      <c r="H15" s="593"/>
      <c r="I15" s="593"/>
      <c r="S15" s="295"/>
      <c r="T15" s="298">
        <f t="shared" si="1"/>
        <v>43960</v>
      </c>
      <c r="U15" s="6"/>
      <c r="V15" s="299">
        <v>439209</v>
      </c>
      <c r="W15" s="6"/>
      <c r="X15" s="44">
        <f>+L40</f>
        <v>0</v>
      </c>
      <c r="Y15" s="6"/>
      <c r="Z15" s="300">
        <f t="shared" si="0"/>
        <v>12834</v>
      </c>
      <c r="AA15" s="6"/>
      <c r="AB15" s="304"/>
      <c r="AC15" s="297"/>
    </row>
    <row r="16" spans="2:29" x14ac:dyDescent="0.3">
      <c r="R16" s="476"/>
      <c r="S16" s="295"/>
      <c r="T16" s="298">
        <f t="shared" si="1"/>
        <v>43961</v>
      </c>
      <c r="U16" s="6"/>
      <c r="V16" s="299">
        <v>423501</v>
      </c>
      <c r="W16" s="6"/>
      <c r="X16" s="44">
        <f>+L41</f>
        <v>0</v>
      </c>
      <c r="Y16" s="6"/>
      <c r="Z16" s="300">
        <f t="shared" si="0"/>
        <v>15708</v>
      </c>
      <c r="AA16" s="6"/>
      <c r="AB16" s="304"/>
      <c r="AC16" s="297"/>
    </row>
    <row r="17" spans="3:29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295"/>
      <c r="T17" s="298">
        <f t="shared" si="1"/>
        <v>43962</v>
      </c>
      <c r="U17" s="6"/>
      <c r="V17" s="299">
        <v>415158</v>
      </c>
      <c r="W17" s="6"/>
      <c r="X17" s="44">
        <f>+L42</f>
        <v>0</v>
      </c>
      <c r="Y17" s="6"/>
      <c r="Z17" s="300">
        <f t="shared" si="0"/>
        <v>8343</v>
      </c>
      <c r="AA17" s="6"/>
      <c r="AB17" s="304"/>
      <c r="AC17" s="297"/>
    </row>
    <row r="18" spans="3:29" ht="15" thickBot="1" x14ac:dyDescent="0.35">
      <c r="C18" s="1"/>
      <c r="D18" s="599" t="s">
        <v>46</v>
      </c>
      <c r="E18" s="600"/>
      <c r="F18" s="600"/>
      <c r="G18" s="600"/>
      <c r="H18" s="600"/>
      <c r="I18" s="600"/>
      <c r="J18" s="600"/>
      <c r="K18" s="600"/>
      <c r="L18" s="600"/>
      <c r="M18" s="600"/>
      <c r="N18" s="600"/>
      <c r="O18" s="601"/>
      <c r="P18" s="90"/>
      <c r="Q18" s="90"/>
      <c r="R18" s="90"/>
      <c r="S18" s="295"/>
      <c r="T18" s="298">
        <f t="shared" si="1"/>
        <v>43963</v>
      </c>
      <c r="U18" s="6"/>
      <c r="V18" s="299">
        <v>413524</v>
      </c>
      <c r="W18" s="6"/>
      <c r="X18" s="44">
        <f>+L43</f>
        <v>0</v>
      </c>
      <c r="Y18" s="6"/>
      <c r="Z18" s="300">
        <f t="shared" si="0"/>
        <v>1634</v>
      </c>
      <c r="AA18" s="6"/>
      <c r="AB18" s="304"/>
      <c r="AC18" s="297"/>
    </row>
    <row r="19" spans="3:29" ht="15" thickBot="1" x14ac:dyDescent="0.35">
      <c r="C19" s="1"/>
      <c r="D19" s="146"/>
      <c r="E19" s="602" t="s">
        <v>77</v>
      </c>
      <c r="F19" s="602"/>
      <c r="G19" s="602"/>
      <c r="H19" s="602"/>
      <c r="I19" s="147" t="s">
        <v>76</v>
      </c>
      <c r="J19" s="148"/>
      <c r="K19" s="607" t="s">
        <v>74</v>
      </c>
      <c r="L19" s="607"/>
      <c r="M19" s="141"/>
      <c r="N19" s="145" t="s">
        <v>75</v>
      </c>
      <c r="O19" s="142"/>
      <c r="P19" s="114"/>
      <c r="Q19" s="114"/>
      <c r="R19" s="114"/>
      <c r="S19" s="295"/>
      <c r="T19" s="298">
        <f t="shared" si="1"/>
        <v>43964</v>
      </c>
      <c r="U19" s="6"/>
      <c r="V19" s="299">
        <v>410932</v>
      </c>
      <c r="W19" s="6"/>
      <c r="X19" s="44">
        <f>+L44</f>
        <v>0</v>
      </c>
      <c r="Y19" s="6"/>
      <c r="Z19" s="300">
        <f t="shared" si="0"/>
        <v>2592</v>
      </c>
      <c r="AA19" s="6"/>
      <c r="AB19" s="304"/>
      <c r="AC19" s="297"/>
    </row>
    <row r="20" spans="3:29" x14ac:dyDescent="0.3">
      <c r="C20" s="1"/>
      <c r="D20" s="126"/>
      <c r="E20" s="127" t="s">
        <v>43</v>
      </c>
      <c r="F20" s="128"/>
      <c r="G20" s="127"/>
      <c r="H20" s="127"/>
      <c r="I20" s="93">
        <f>+'Main Table'!H77</f>
        <v>1725257</v>
      </c>
      <c r="J20" s="129"/>
      <c r="K20" s="140"/>
      <c r="L20" s="140"/>
      <c r="M20" s="140"/>
      <c r="N20" s="140"/>
      <c r="O20" s="136"/>
      <c r="P20" s="90"/>
      <c r="Q20" s="90"/>
      <c r="R20" s="90"/>
      <c r="S20" s="295"/>
      <c r="T20" s="298">
        <f t="shared" si="1"/>
        <v>43965</v>
      </c>
      <c r="U20" s="6"/>
      <c r="V20" s="299">
        <v>409640</v>
      </c>
      <c r="W20" s="6"/>
      <c r="X20" s="44">
        <v>0</v>
      </c>
      <c r="Y20" s="6"/>
      <c r="Z20" s="300">
        <f t="shared" ref="Z20" si="3">+V19-V20</f>
        <v>1292</v>
      </c>
      <c r="AA20" s="6"/>
      <c r="AB20" s="304"/>
      <c r="AC20" s="297"/>
    </row>
    <row r="21" spans="3:29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Table'!Z94</f>
        <v>112813</v>
      </c>
      <c r="J21" s="129"/>
      <c r="K21" s="140"/>
      <c r="L21" s="140"/>
      <c r="M21" s="140"/>
      <c r="N21" s="140"/>
      <c r="O21" s="136"/>
      <c r="P21" s="90"/>
      <c r="Q21" s="90"/>
      <c r="R21" s="90"/>
      <c r="S21" s="295"/>
      <c r="T21" s="298">
        <f t="shared" si="1"/>
        <v>43966</v>
      </c>
      <c r="U21" s="6"/>
      <c r="V21" s="299">
        <v>405327</v>
      </c>
      <c r="W21" s="6"/>
      <c r="X21" s="44">
        <v>0.27300000000000002</v>
      </c>
      <c r="Y21" s="6"/>
      <c r="Z21" s="300">
        <f t="shared" ref="Z21" si="4">+V20-V21</f>
        <v>4313</v>
      </c>
      <c r="AA21" s="6"/>
      <c r="AB21" s="304"/>
      <c r="AC21" s="297"/>
    </row>
    <row r="22" spans="3:29" x14ac:dyDescent="0.3">
      <c r="C22" s="1"/>
      <c r="D22" s="126"/>
      <c r="E22" s="127"/>
      <c r="F22" s="127" t="s">
        <v>45</v>
      </c>
      <c r="G22" s="127"/>
      <c r="H22" s="127"/>
      <c r="I22" s="159">
        <v>16907</v>
      </c>
      <c r="J22" s="129"/>
      <c r="K22" s="140"/>
      <c r="L22" s="283">
        <v>16923</v>
      </c>
      <c r="M22" s="140"/>
      <c r="N22" s="160">
        <f>+(I22-L22)/I22</f>
        <v>-9.4635358135683446E-4</v>
      </c>
      <c r="O22" s="136"/>
      <c r="P22" s="90"/>
      <c r="Q22" s="90"/>
      <c r="R22" s="90"/>
      <c r="S22" s="295"/>
      <c r="T22" s="298">
        <f t="shared" si="1"/>
        <v>43967</v>
      </c>
      <c r="U22" s="6"/>
      <c r="V22" s="299">
        <v>393991</v>
      </c>
      <c r="W22" s="6"/>
      <c r="X22" s="44">
        <v>0.26100000000000001</v>
      </c>
      <c r="Y22" s="6"/>
      <c r="Z22" s="300">
        <f t="shared" ref="Z22" si="5">+V21-V22</f>
        <v>11336</v>
      </c>
      <c r="AA22" s="6"/>
      <c r="AB22" s="304"/>
      <c r="AC22" s="297"/>
    </row>
    <row r="23" spans="3:29" x14ac:dyDescent="0.3">
      <c r="C23" s="1"/>
      <c r="D23" s="126"/>
      <c r="E23" s="127"/>
      <c r="F23" s="137" t="s">
        <v>72</v>
      </c>
      <c r="G23" s="137"/>
      <c r="H23" s="137"/>
      <c r="I23" s="130">
        <f>+I20-I21-I22</f>
        <v>1595537</v>
      </c>
      <c r="J23" s="129"/>
      <c r="K23" s="140"/>
      <c r="L23" s="140"/>
      <c r="M23" s="140"/>
      <c r="N23" s="140"/>
      <c r="O23" s="136"/>
      <c r="P23" s="113"/>
      <c r="Q23" s="113"/>
      <c r="R23" s="477"/>
      <c r="S23" s="295"/>
      <c r="T23" s="298">
        <f t="shared" si="1"/>
        <v>43968</v>
      </c>
      <c r="U23" s="6"/>
      <c r="V23" s="299">
        <v>384245</v>
      </c>
      <c r="W23" s="6"/>
      <c r="X23" s="44">
        <v>0.251</v>
      </c>
      <c r="Y23" s="6"/>
      <c r="Z23" s="300">
        <f t="shared" ref="Z23" si="6">+V22-V23</f>
        <v>9746</v>
      </c>
      <c r="AA23" s="6"/>
      <c r="AB23" s="304"/>
      <c r="AC23" s="297"/>
    </row>
    <row r="24" spans="3:29" x14ac:dyDescent="0.3">
      <c r="C24" s="1"/>
      <c r="D24" s="126"/>
      <c r="E24" s="127" t="s">
        <v>79</v>
      </c>
      <c r="F24" s="129"/>
      <c r="G24" s="129"/>
      <c r="H24" s="129"/>
      <c r="I24" s="131">
        <f>+'Main Table'!AO94</f>
        <v>773480</v>
      </c>
      <c r="J24" s="129"/>
      <c r="K24" s="140"/>
      <c r="L24" s="140"/>
      <c r="M24" s="140"/>
      <c r="N24" s="140"/>
      <c r="O24" s="136"/>
      <c r="P24" s="113"/>
      <c r="Q24" s="113"/>
      <c r="R24" s="113"/>
      <c r="S24" s="295"/>
      <c r="T24" s="298">
        <f t="shared" si="1"/>
        <v>43969</v>
      </c>
      <c r="U24" s="6"/>
      <c r="V24" s="299">
        <v>379527</v>
      </c>
      <c r="W24" s="6"/>
      <c r="X24" s="44">
        <v>0.245</v>
      </c>
      <c r="Y24" s="6"/>
      <c r="Z24" s="300">
        <f t="shared" ref="Z24" si="7">+V23-V24</f>
        <v>4718</v>
      </c>
      <c r="AA24" s="6"/>
      <c r="AB24" s="304"/>
      <c r="AC24" s="297"/>
    </row>
    <row r="25" spans="3:29" x14ac:dyDescent="0.3">
      <c r="C25" s="1"/>
      <c r="D25" s="603" t="s">
        <v>49</v>
      </c>
      <c r="E25" s="604"/>
      <c r="F25" s="604"/>
      <c r="G25" s="604"/>
      <c r="H25" s="604"/>
      <c r="I25" s="132">
        <f>+I23-I24</f>
        <v>822057</v>
      </c>
      <c r="J25" s="129"/>
      <c r="K25" s="140"/>
      <c r="L25" s="140"/>
      <c r="M25" s="140"/>
      <c r="N25" s="140"/>
      <c r="O25" s="136"/>
      <c r="P25" s="113"/>
      <c r="Q25" s="113"/>
      <c r="R25" s="113"/>
      <c r="S25" s="295"/>
      <c r="T25" s="298">
        <f t="shared" si="1"/>
        <v>43970</v>
      </c>
      <c r="U25" s="6"/>
      <c r="V25" s="299">
        <v>375997</v>
      </c>
      <c r="W25" s="6"/>
      <c r="X25" s="44">
        <v>0.23899999999999999</v>
      </c>
      <c r="Y25" s="6"/>
      <c r="Z25" s="300">
        <f t="shared" ref="Z25" si="8">+V24-V25</f>
        <v>3530</v>
      </c>
      <c r="AA25" s="6"/>
      <c r="AB25" s="304"/>
      <c r="AC25" s="297"/>
    </row>
    <row r="26" spans="3:29" x14ac:dyDescent="0.3">
      <c r="C26" s="1"/>
      <c r="D26" s="126"/>
      <c r="E26" s="127" t="s">
        <v>73</v>
      </c>
      <c r="F26" s="129"/>
      <c r="G26" s="129"/>
      <c r="H26" s="129"/>
      <c r="I26" s="131">
        <f>+I24</f>
        <v>773480</v>
      </c>
      <c r="J26" s="129"/>
      <c r="K26" s="140"/>
      <c r="L26" s="140"/>
      <c r="M26" s="140"/>
      <c r="N26" s="140"/>
      <c r="O26" s="136"/>
      <c r="P26" s="90"/>
      <c r="Q26" s="90"/>
      <c r="R26" s="90"/>
      <c r="S26" s="295"/>
      <c r="T26" s="298">
        <f t="shared" si="1"/>
        <v>43971</v>
      </c>
      <c r="U26" s="6"/>
      <c r="V26" s="299">
        <v>373168</v>
      </c>
      <c r="W26" s="6"/>
      <c r="X26" s="44">
        <v>0.23400000000000001</v>
      </c>
      <c r="Y26" s="6"/>
      <c r="Z26" s="300">
        <f t="shared" ref="Z26" si="9">+V25-V26</f>
        <v>2829</v>
      </c>
      <c r="AA26" s="6"/>
      <c r="AB26" s="304"/>
      <c r="AC26" s="297"/>
    </row>
    <row r="27" spans="3:29" ht="15" thickBot="1" x14ac:dyDescent="0.35">
      <c r="C27" s="1"/>
      <c r="D27" s="603" t="s">
        <v>46</v>
      </c>
      <c r="E27" s="604"/>
      <c r="F27" s="604"/>
      <c r="G27" s="604"/>
      <c r="H27" s="604"/>
      <c r="I27" s="149">
        <f>+I25+I26</f>
        <v>1595537</v>
      </c>
      <c r="J27" s="129"/>
      <c r="K27" s="608">
        <v>1577076</v>
      </c>
      <c r="L27" s="608"/>
      <c r="M27" s="140"/>
      <c r="N27" s="150">
        <f>+I27-K27</f>
        <v>18461</v>
      </c>
      <c r="O27" s="136"/>
      <c r="P27" s="90"/>
      <c r="Q27" s="90"/>
      <c r="R27" s="90"/>
      <c r="S27" s="295"/>
      <c r="T27" s="298">
        <f t="shared" si="1"/>
        <v>43972</v>
      </c>
      <c r="U27" s="6"/>
      <c r="V27" s="299">
        <v>346181</v>
      </c>
      <c r="W27" s="6"/>
      <c r="X27" s="44">
        <v>0.214</v>
      </c>
      <c r="Y27" s="6"/>
      <c r="Z27" s="300">
        <f t="shared" ref="Z27" si="10">+V26-V27</f>
        <v>26987</v>
      </c>
      <c r="AA27" s="6"/>
      <c r="AB27" s="304"/>
      <c r="AC27" s="297"/>
    </row>
    <row r="28" spans="3:29" ht="15.6" thickTop="1" thickBot="1" x14ac:dyDescent="0.35">
      <c r="C28" s="10"/>
      <c r="D28" s="135"/>
      <c r="E28" s="605" t="s">
        <v>71</v>
      </c>
      <c r="F28" s="605"/>
      <c r="G28" s="605"/>
      <c r="H28" s="137"/>
      <c r="I28" s="276">
        <f>+I27/I32</f>
        <v>0.79374224247504532</v>
      </c>
      <c r="J28" s="140"/>
      <c r="K28" s="140"/>
      <c r="L28" s="140"/>
      <c r="M28" s="110"/>
      <c r="N28" s="162">
        <f>+N27/K27</f>
        <v>1.1705840428742812E-2</v>
      </c>
      <c r="O28" s="136"/>
      <c r="P28" s="1"/>
      <c r="Q28" s="1"/>
      <c r="R28" s="1"/>
      <c r="S28" s="295"/>
      <c r="T28" s="298">
        <f t="shared" si="1"/>
        <v>43973</v>
      </c>
      <c r="U28" s="6"/>
      <c r="V28" s="299">
        <v>341216</v>
      </c>
      <c r="W28" s="6"/>
      <c r="X28" s="44">
        <v>0.20699999999999999</v>
      </c>
      <c r="Y28" s="6"/>
      <c r="Z28" s="300">
        <f t="shared" ref="Z28" si="11">+V27-V28</f>
        <v>4965</v>
      </c>
      <c r="AA28" s="6"/>
      <c r="AB28" s="304"/>
      <c r="AC28" s="297"/>
    </row>
    <row r="29" spans="3:29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295"/>
      <c r="T29" s="298">
        <f t="shared" si="1"/>
        <v>43974</v>
      </c>
      <c r="U29" s="6"/>
      <c r="V29" s="299">
        <v>336852</v>
      </c>
      <c r="W29" s="6"/>
      <c r="X29" s="44">
        <v>0.20200000000000001</v>
      </c>
      <c r="Y29" s="6"/>
      <c r="Z29" s="300">
        <f t="shared" ref="Z29" si="12">+V28-V29</f>
        <v>4364</v>
      </c>
      <c r="AA29" s="6"/>
      <c r="AB29" s="304"/>
      <c r="AC29" s="297"/>
    </row>
    <row r="30" spans="3:29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473"/>
      <c r="S30" s="295"/>
      <c r="T30" s="298">
        <f t="shared" si="1"/>
        <v>43975</v>
      </c>
      <c r="U30" s="6"/>
      <c r="V30" s="299">
        <v>336142</v>
      </c>
      <c r="W30" s="6"/>
      <c r="X30" s="44">
        <v>0.19900000000000001</v>
      </c>
      <c r="Y30" s="6"/>
      <c r="Z30" s="300">
        <f t="shared" ref="Z30" si="13">+V29-V30</f>
        <v>710</v>
      </c>
      <c r="AA30" s="6"/>
      <c r="AB30" s="304"/>
      <c r="AC30" s="297"/>
    </row>
    <row r="31" spans="3:29" ht="16.2" thickBot="1" x14ac:dyDescent="0.35">
      <c r="C31" s="90"/>
      <c r="D31" s="274"/>
      <c r="E31" s="584" t="s">
        <v>116</v>
      </c>
      <c r="F31" s="585"/>
      <c r="G31" s="585"/>
      <c r="H31" s="585"/>
      <c r="I31" s="585"/>
      <c r="J31" s="586"/>
      <c r="K31" s="273"/>
      <c r="L31" s="272" t="s">
        <v>10</v>
      </c>
      <c r="M31" s="271"/>
      <c r="N31" s="270"/>
      <c r="O31" s="110"/>
      <c r="P31" s="90"/>
      <c r="Q31" s="90"/>
      <c r="R31" s="90"/>
      <c r="S31" s="295"/>
      <c r="T31" s="298">
        <f t="shared" si="1"/>
        <v>43976</v>
      </c>
      <c r="U31" s="6"/>
      <c r="V31" s="299">
        <v>337736</v>
      </c>
      <c r="W31" s="6"/>
      <c r="X31" s="44">
        <v>0.19800000000000001</v>
      </c>
      <c r="Y31" s="6"/>
      <c r="Z31" s="300">
        <f t="shared" ref="Z31" si="14">+V30-V31</f>
        <v>-1594</v>
      </c>
      <c r="AA31" s="6"/>
      <c r="AB31" s="304"/>
      <c r="AC31" s="297"/>
    </row>
    <row r="32" spans="3:29" x14ac:dyDescent="0.3">
      <c r="C32" s="10"/>
      <c r="D32" s="261"/>
      <c r="E32" s="262" t="s">
        <v>90</v>
      </c>
      <c r="F32" s="24"/>
      <c r="G32" s="24"/>
      <c r="H32" s="24"/>
      <c r="I32" s="579">
        <f>+'Main Table'!H94</f>
        <v>2010145</v>
      </c>
      <c r="J32" s="579"/>
      <c r="K32" s="24"/>
      <c r="L32" s="25">
        <f>+I32/$I$32</f>
        <v>1</v>
      </c>
      <c r="M32" s="263"/>
      <c r="N32" s="90"/>
      <c r="O32" s="90"/>
      <c r="P32" s="90"/>
      <c r="Q32" s="90"/>
      <c r="R32" s="90"/>
      <c r="S32" s="295"/>
      <c r="T32" s="298">
        <f t="shared" si="1"/>
        <v>43977</v>
      </c>
      <c r="U32" s="6"/>
      <c r="V32" s="299">
        <v>333791</v>
      </c>
      <c r="W32" s="6"/>
      <c r="X32" s="44">
        <v>0.193</v>
      </c>
      <c r="Y32" s="6"/>
      <c r="Z32" s="300">
        <f t="shared" ref="Z32" si="15">+V31-V32</f>
        <v>3945</v>
      </c>
      <c r="AA32" s="6"/>
      <c r="AB32" s="304"/>
      <c r="AC32" s="297"/>
    </row>
    <row r="33" spans="3:29" x14ac:dyDescent="0.3">
      <c r="C33" s="10"/>
      <c r="D33" s="261"/>
      <c r="E33" s="262"/>
      <c r="F33" s="24"/>
      <c r="G33" s="24"/>
      <c r="H33" s="24"/>
      <c r="I33" s="24"/>
      <c r="J33" s="24"/>
      <c r="K33" s="24"/>
      <c r="L33" s="24"/>
      <c r="M33" s="263"/>
      <c r="N33" s="90"/>
      <c r="O33" s="90"/>
      <c r="P33" s="90"/>
      <c r="Q33" s="90"/>
      <c r="R33" s="90"/>
      <c r="S33" s="295"/>
      <c r="T33" s="298">
        <f t="shared" si="1"/>
        <v>43978</v>
      </c>
      <c r="U33" s="6"/>
      <c r="V33" s="299">
        <v>332639</v>
      </c>
      <c r="W33" s="6"/>
      <c r="X33" s="44">
        <v>0.191</v>
      </c>
      <c r="Y33" s="6"/>
      <c r="Z33" s="300">
        <f t="shared" ref="Z33" si="16">+V32-V33</f>
        <v>1152</v>
      </c>
      <c r="AA33" s="6"/>
      <c r="AB33" s="304"/>
      <c r="AC33" s="297"/>
    </row>
    <row r="34" spans="3:29" x14ac:dyDescent="0.3">
      <c r="D34" s="264"/>
      <c r="E34" s="22"/>
      <c r="F34" s="265" t="s">
        <v>115</v>
      </c>
      <c r="G34" s="265"/>
      <c r="H34" s="22"/>
      <c r="I34" s="580">
        <f>+I27</f>
        <v>1595537</v>
      </c>
      <c r="J34" s="581"/>
      <c r="K34" s="22"/>
      <c r="L34" s="25">
        <f>+I34/$I$32</f>
        <v>0.79374224247504532</v>
      </c>
      <c r="M34" s="266"/>
      <c r="P34" s="234"/>
      <c r="Q34" s="234"/>
      <c r="R34" s="234"/>
      <c r="S34" s="295"/>
      <c r="T34" s="298">
        <f t="shared" si="1"/>
        <v>43979</v>
      </c>
      <c r="U34" s="6"/>
      <c r="V34" s="299">
        <v>328088</v>
      </c>
      <c r="W34" s="6"/>
      <c r="X34" s="44">
        <v>0.186</v>
      </c>
      <c r="Y34" s="6"/>
      <c r="Z34" s="300">
        <f t="shared" ref="Z34" si="17">+V33-V34</f>
        <v>4551</v>
      </c>
      <c r="AA34" s="6"/>
      <c r="AB34" s="304"/>
      <c r="AC34" s="297"/>
    </row>
    <row r="35" spans="3:29" x14ac:dyDescent="0.3">
      <c r="D35" s="264"/>
      <c r="E35" s="22"/>
      <c r="F35" s="22" t="s">
        <v>91</v>
      </c>
      <c r="G35" s="22"/>
      <c r="H35" s="22"/>
      <c r="I35" s="587">
        <f>+I21</f>
        <v>112813</v>
      </c>
      <c r="J35" s="588"/>
      <c r="K35" s="22"/>
      <c r="L35" s="25">
        <f>+I35/$I$32</f>
        <v>5.6121822057612757E-2</v>
      </c>
      <c r="M35" s="266"/>
      <c r="P35" s="275"/>
      <c r="Q35" s="275"/>
      <c r="R35" s="275"/>
      <c r="S35" s="295"/>
      <c r="T35" s="298">
        <f t="shared" si="1"/>
        <v>43980</v>
      </c>
      <c r="U35" s="6"/>
      <c r="V35" s="299">
        <v>326426</v>
      </c>
      <c r="W35" s="6"/>
      <c r="X35" s="44">
        <v>0.182</v>
      </c>
      <c r="Y35" s="6"/>
      <c r="Z35" s="300">
        <f t="shared" ref="Z35" si="18">+V34-V35</f>
        <v>1662</v>
      </c>
      <c r="AA35" s="6"/>
      <c r="AB35" s="304"/>
      <c r="AC35" s="297"/>
    </row>
    <row r="36" spans="3:29" ht="15" thickBot="1" x14ac:dyDescent="0.35">
      <c r="D36" s="264"/>
      <c r="E36" s="606" t="s">
        <v>116</v>
      </c>
      <c r="F36" s="606"/>
      <c r="G36" s="606"/>
      <c r="H36" s="277"/>
      <c r="I36" s="582">
        <f>+I32-I34-I35</f>
        <v>301795</v>
      </c>
      <c r="J36" s="583"/>
      <c r="K36" s="305"/>
      <c r="L36" s="278">
        <f>+I36/$I$32</f>
        <v>0.15013593546734191</v>
      </c>
      <c r="M36" s="266"/>
      <c r="S36" s="295"/>
      <c r="T36" s="298">
        <f t="shared" si="1"/>
        <v>43981</v>
      </c>
      <c r="U36" s="6"/>
      <c r="V36" s="299">
        <v>326228</v>
      </c>
      <c r="W36" s="6"/>
      <c r="X36" s="44">
        <v>0.16900000000000001</v>
      </c>
      <c r="Y36" s="6"/>
      <c r="Z36" s="300">
        <f t="shared" ref="Z36" si="19">+V35-V36</f>
        <v>198</v>
      </c>
      <c r="AA36" s="6"/>
      <c r="AB36" s="304"/>
      <c r="AC36" s="297"/>
    </row>
    <row r="37" spans="3:29" ht="15.6" thickTop="1" thickBot="1" x14ac:dyDescent="0.35">
      <c r="D37" s="267"/>
      <c r="E37" s="268"/>
      <c r="F37" s="268"/>
      <c r="G37" s="268"/>
      <c r="H37" s="268"/>
      <c r="I37" s="268"/>
      <c r="J37" s="268"/>
      <c r="K37" s="268"/>
      <c r="L37" s="268"/>
      <c r="M37" s="269"/>
      <c r="R37" s="476"/>
      <c r="S37" s="295"/>
      <c r="T37" s="298">
        <f t="shared" si="1"/>
        <v>43982</v>
      </c>
      <c r="U37" s="6"/>
      <c r="V37" s="299">
        <v>303951</v>
      </c>
      <c r="W37" s="6"/>
      <c r="X37" s="44">
        <v>0.16500000000000001</v>
      </c>
      <c r="Y37" s="6"/>
      <c r="Z37" s="300">
        <f t="shared" ref="Z37" si="20">+V36-V37</f>
        <v>22277</v>
      </c>
      <c r="AA37" s="6"/>
      <c r="AB37" s="304"/>
      <c r="AC37" s="297"/>
    </row>
    <row r="38" spans="3:29" x14ac:dyDescent="0.3">
      <c r="S38" s="295"/>
      <c r="T38" s="298">
        <f t="shared" si="1"/>
        <v>43983</v>
      </c>
      <c r="U38" s="6"/>
      <c r="V38" s="299">
        <v>305817</v>
      </c>
      <c r="W38" s="6"/>
      <c r="X38" s="44">
        <v>0.16400000000000001</v>
      </c>
      <c r="Y38" s="6"/>
      <c r="Z38" s="300">
        <f t="shared" ref="Z38" si="21">+V37-V38</f>
        <v>-1866</v>
      </c>
      <c r="AA38" s="6"/>
      <c r="AB38" s="304"/>
      <c r="AC38" s="297"/>
    </row>
    <row r="39" spans="3:29" x14ac:dyDescent="0.3">
      <c r="S39" s="295"/>
      <c r="T39" s="298">
        <f t="shared" si="1"/>
        <v>43984</v>
      </c>
      <c r="U39" s="6"/>
      <c r="V39" s="299">
        <v>305724</v>
      </c>
      <c r="W39" s="6"/>
      <c r="X39" s="44">
        <v>0.16300000000000001</v>
      </c>
      <c r="Y39" s="6"/>
      <c r="Z39" s="300">
        <f t="shared" ref="Z39" si="22">+V38-V39</f>
        <v>93</v>
      </c>
      <c r="AA39" s="6"/>
      <c r="AB39" s="304"/>
      <c r="AC39" s="297"/>
    </row>
    <row r="40" spans="3:29" ht="15" thickBot="1" x14ac:dyDescent="0.35">
      <c r="S40" s="295"/>
      <c r="T40" s="298">
        <f t="shared" si="1"/>
        <v>43985</v>
      </c>
      <c r="U40" s="6"/>
      <c r="V40" s="299">
        <v>297824</v>
      </c>
      <c r="W40" s="6"/>
      <c r="X40" s="44">
        <v>0.157</v>
      </c>
      <c r="Y40" s="6"/>
      <c r="Z40" s="300">
        <f t="shared" ref="Z40" si="23">+V39-V40</f>
        <v>7900</v>
      </c>
      <c r="AA40" s="6"/>
      <c r="AB40" s="304"/>
      <c r="AC40" s="297"/>
    </row>
    <row r="41" spans="3:29" ht="15" thickBot="1" x14ac:dyDescent="0.35">
      <c r="D41" s="594" t="s">
        <v>129</v>
      </c>
      <c r="E41" s="595"/>
      <c r="F41" s="595"/>
      <c r="G41" s="595"/>
      <c r="H41" s="595"/>
      <c r="I41" s="595"/>
      <c r="J41" s="595"/>
      <c r="K41" s="595"/>
      <c r="L41" s="595"/>
      <c r="M41" s="595"/>
      <c r="N41" s="595"/>
      <c r="O41" s="596"/>
      <c r="S41" s="295"/>
      <c r="T41" s="298">
        <f t="shared" si="1"/>
        <v>43986</v>
      </c>
      <c r="U41" s="6"/>
      <c r="V41" s="299">
        <v>296183</v>
      </c>
      <c r="W41" s="6"/>
      <c r="X41" s="44">
        <v>0.154</v>
      </c>
      <c r="Y41" s="6"/>
      <c r="Z41" s="300">
        <f t="shared" ref="Z41" si="24">+V40-V41</f>
        <v>1641</v>
      </c>
      <c r="AA41" s="6"/>
      <c r="AB41" s="304"/>
      <c r="AC41" s="297"/>
    </row>
    <row r="42" spans="3:29" ht="15" thickBot="1" x14ac:dyDescent="0.35">
      <c r="D42" s="323"/>
      <c r="E42" s="597" t="s">
        <v>77</v>
      </c>
      <c r="F42" s="597"/>
      <c r="G42" s="597"/>
      <c r="H42" s="597"/>
      <c r="I42" s="306" t="s">
        <v>76</v>
      </c>
      <c r="J42" s="307"/>
      <c r="K42" s="598" t="s">
        <v>37</v>
      </c>
      <c r="L42" s="598"/>
      <c r="M42" s="308"/>
      <c r="N42" s="309" t="s">
        <v>75</v>
      </c>
      <c r="O42" s="324"/>
      <c r="S42" s="295"/>
      <c r="T42" s="298">
        <f t="shared" si="1"/>
        <v>43987</v>
      </c>
      <c r="U42" s="6"/>
      <c r="V42" s="299">
        <v>299564</v>
      </c>
      <c r="W42" s="6"/>
      <c r="X42" s="44">
        <v>0.154</v>
      </c>
      <c r="Y42" s="6"/>
      <c r="Z42" s="300">
        <f t="shared" ref="Z42" si="25">+V41-V42</f>
        <v>-3381</v>
      </c>
      <c r="AA42" s="6"/>
      <c r="AB42" s="304"/>
      <c r="AC42" s="297"/>
    </row>
    <row r="43" spans="3:29" x14ac:dyDescent="0.3">
      <c r="D43" s="325"/>
      <c r="E43" s="310" t="s">
        <v>43</v>
      </c>
      <c r="F43" s="311"/>
      <c r="G43" s="310"/>
      <c r="H43" s="310"/>
      <c r="I43" s="382">
        <v>25405</v>
      </c>
      <c r="J43" s="382"/>
      <c r="K43" s="383"/>
      <c r="L43" s="383"/>
      <c r="M43" s="383"/>
      <c r="N43" s="383"/>
      <c r="O43" s="317"/>
      <c r="S43" s="295"/>
      <c r="T43" s="298">
        <f t="shared" si="1"/>
        <v>43988</v>
      </c>
      <c r="U43" s="6"/>
      <c r="V43" s="299">
        <v>299553</v>
      </c>
      <c r="W43" s="6"/>
      <c r="X43" s="44">
        <v>0.154</v>
      </c>
      <c r="Y43" s="6"/>
      <c r="Z43" s="300">
        <f t="shared" ref="Z43" si="26">+V42-V43</f>
        <v>11</v>
      </c>
      <c r="AA43" s="6"/>
      <c r="AB43" s="304"/>
      <c r="AC43" s="297"/>
    </row>
    <row r="44" spans="3:29" x14ac:dyDescent="0.3">
      <c r="D44" s="325"/>
      <c r="E44" s="310" t="s">
        <v>44</v>
      </c>
      <c r="F44" s="310" t="s">
        <v>4</v>
      </c>
      <c r="G44" s="310"/>
      <c r="H44" s="310"/>
      <c r="I44" s="382">
        <v>1836</v>
      </c>
      <c r="J44" s="382"/>
      <c r="K44" s="383"/>
      <c r="L44" s="383"/>
      <c r="M44" s="383"/>
      <c r="N44" s="383"/>
      <c r="O44" s="317"/>
      <c r="S44" s="295"/>
      <c r="T44" s="298">
        <f t="shared" si="1"/>
        <v>43989</v>
      </c>
      <c r="U44" s="6"/>
      <c r="V44" s="299">
        <v>301798</v>
      </c>
      <c r="W44" s="6"/>
      <c r="X44" s="44">
        <v>0.152</v>
      </c>
      <c r="Y44" s="6"/>
      <c r="Z44" s="300">
        <f t="shared" ref="Z44" si="27">+V43-V44</f>
        <v>-2245</v>
      </c>
      <c r="AA44" s="6"/>
      <c r="AB44" s="304"/>
      <c r="AC44" s="297"/>
    </row>
    <row r="45" spans="3:29" x14ac:dyDescent="0.3">
      <c r="D45" s="325"/>
      <c r="E45" s="310"/>
      <c r="F45" s="310" t="s">
        <v>45</v>
      </c>
      <c r="G45" s="310"/>
      <c r="H45" s="310"/>
      <c r="I45" s="384">
        <v>1397</v>
      </c>
      <c r="J45" s="382"/>
      <c r="K45" s="383"/>
      <c r="L45" s="382"/>
      <c r="M45" s="383"/>
      <c r="N45" s="385"/>
      <c r="O45" s="317"/>
      <c r="S45" s="295"/>
      <c r="T45" s="298">
        <f t="shared" si="1"/>
        <v>43990</v>
      </c>
      <c r="U45" s="6"/>
      <c r="V45" s="299">
        <f>+I$36</f>
        <v>301795</v>
      </c>
      <c r="W45" s="6"/>
      <c r="X45" s="44">
        <f>+L$36</f>
        <v>0.15013593546734191</v>
      </c>
      <c r="Y45" s="6"/>
      <c r="Z45" s="300">
        <f t="shared" ref="Z45" si="28">+V44-V45</f>
        <v>3</v>
      </c>
      <c r="AA45" s="6"/>
      <c r="AB45" s="304"/>
      <c r="AC45" s="297"/>
    </row>
    <row r="46" spans="3:29" x14ac:dyDescent="0.3">
      <c r="D46" s="325"/>
      <c r="E46" s="310"/>
      <c r="F46" s="314" t="s">
        <v>72</v>
      </c>
      <c r="G46" s="314"/>
      <c r="H46" s="314"/>
      <c r="I46" s="382">
        <f>+I43-I44-I45</f>
        <v>22172</v>
      </c>
      <c r="J46" s="382"/>
      <c r="K46" s="383"/>
      <c r="L46" s="383"/>
      <c r="M46" s="383"/>
      <c r="N46" s="383"/>
      <c r="O46" s="317"/>
      <c r="S46" s="295"/>
      <c r="T46" s="298">
        <f t="shared" si="1"/>
        <v>43991</v>
      </c>
      <c r="U46" s="6"/>
      <c r="V46" s="299"/>
      <c r="W46" s="6"/>
      <c r="X46" s="44"/>
      <c r="Y46" s="6"/>
      <c r="Z46" s="300"/>
      <c r="AA46" s="6"/>
      <c r="AB46" s="304"/>
      <c r="AC46" s="297"/>
    </row>
    <row r="47" spans="3:29" x14ac:dyDescent="0.3">
      <c r="D47" s="325"/>
      <c r="E47" s="310" t="s">
        <v>79</v>
      </c>
      <c r="F47" s="312"/>
      <c r="G47" s="312"/>
      <c r="H47" s="312"/>
      <c r="I47" s="384">
        <f>+'Main Table'!AO111</f>
        <v>0</v>
      </c>
      <c r="J47" s="382"/>
      <c r="K47" s="383"/>
      <c r="L47" s="383"/>
      <c r="M47" s="383"/>
      <c r="N47" s="383"/>
      <c r="O47" s="317"/>
      <c r="S47" s="295"/>
      <c r="T47" s="298">
        <f t="shared" si="1"/>
        <v>43992</v>
      </c>
      <c r="U47" s="6"/>
      <c r="V47" s="299"/>
      <c r="W47" s="6"/>
      <c r="X47" s="44"/>
      <c r="Y47" s="6"/>
      <c r="Z47" s="300"/>
      <c r="AA47" s="6"/>
      <c r="AB47" s="304"/>
      <c r="AC47" s="297"/>
    </row>
    <row r="48" spans="3:29" x14ac:dyDescent="0.3">
      <c r="D48" s="563" t="s">
        <v>49</v>
      </c>
      <c r="E48" s="564"/>
      <c r="F48" s="564"/>
      <c r="G48" s="564"/>
      <c r="H48" s="564"/>
      <c r="I48" s="315">
        <f>+I46-I47</f>
        <v>22172</v>
      </c>
      <c r="J48" s="382"/>
      <c r="K48" s="383"/>
      <c r="L48" s="383"/>
      <c r="M48" s="383"/>
      <c r="N48" s="383"/>
      <c r="O48" s="317"/>
      <c r="S48" s="295"/>
      <c r="T48" s="298">
        <f t="shared" si="1"/>
        <v>43993</v>
      </c>
      <c r="U48" s="6"/>
      <c r="V48" s="299"/>
      <c r="W48" s="6"/>
      <c r="X48" s="44"/>
      <c r="Y48" s="6"/>
      <c r="Z48" s="300"/>
      <c r="AA48" s="6"/>
      <c r="AB48" s="304"/>
      <c r="AC48" s="297"/>
    </row>
    <row r="49" spans="4:29" x14ac:dyDescent="0.3">
      <c r="D49" s="325"/>
      <c r="E49" s="310" t="s">
        <v>73</v>
      </c>
      <c r="F49" s="312"/>
      <c r="G49" s="312"/>
      <c r="H49" s="312"/>
      <c r="I49" s="384">
        <f>+I47</f>
        <v>0</v>
      </c>
      <c r="J49" s="382"/>
      <c r="K49" s="383"/>
      <c r="L49" s="383"/>
      <c r="M49" s="383"/>
      <c r="N49" s="383"/>
      <c r="O49" s="317"/>
      <c r="S49" s="295"/>
      <c r="T49" s="298">
        <f t="shared" si="1"/>
        <v>43994</v>
      </c>
      <c r="U49" s="6"/>
      <c r="V49" s="299"/>
      <c r="W49" s="6"/>
      <c r="X49" s="44"/>
      <c r="Y49" s="6"/>
      <c r="Z49" s="300"/>
      <c r="AA49" s="6"/>
      <c r="AB49" s="304"/>
      <c r="AC49" s="297"/>
    </row>
    <row r="50" spans="4:29" ht="15" thickBot="1" x14ac:dyDescent="0.35">
      <c r="D50" s="563" t="s">
        <v>46</v>
      </c>
      <c r="E50" s="564"/>
      <c r="F50" s="564"/>
      <c r="G50" s="564"/>
      <c r="H50" s="564"/>
      <c r="I50" s="386">
        <f>+I48+I49</f>
        <v>22172</v>
      </c>
      <c r="J50" s="382"/>
      <c r="K50" s="565">
        <v>30167</v>
      </c>
      <c r="L50" s="565"/>
      <c r="M50" s="383"/>
      <c r="N50" s="387">
        <f>+K50-I50</f>
        <v>7995</v>
      </c>
      <c r="O50" s="317"/>
      <c r="S50" s="295"/>
      <c r="T50" s="298">
        <f t="shared" si="1"/>
        <v>43995</v>
      </c>
      <c r="U50" s="6"/>
      <c r="V50" s="299"/>
      <c r="W50" s="6"/>
      <c r="X50" s="44"/>
      <c r="Y50" s="6"/>
      <c r="Z50" s="300"/>
      <c r="AA50" s="6"/>
      <c r="AB50" s="304"/>
      <c r="AC50" s="297"/>
    </row>
    <row r="51" spans="4:29" ht="15.6" thickTop="1" thickBot="1" x14ac:dyDescent="0.35">
      <c r="D51" s="316"/>
      <c r="E51" s="566" t="s">
        <v>71</v>
      </c>
      <c r="F51" s="566"/>
      <c r="G51" s="566"/>
      <c r="H51" s="314"/>
      <c r="I51" s="388">
        <f>+I50/K50</f>
        <v>0.73497530414028578</v>
      </c>
      <c r="J51" s="383"/>
      <c r="K51" s="383"/>
      <c r="L51" s="383"/>
      <c r="M51" s="383"/>
      <c r="N51" s="389">
        <f>+N50/K50</f>
        <v>0.26502469585971428</v>
      </c>
      <c r="O51" s="317"/>
      <c r="R51" s="56"/>
      <c r="S51" s="301"/>
      <c r="T51" s="397">
        <f>+T50+1</f>
        <v>43996</v>
      </c>
      <c r="U51" s="292"/>
      <c r="V51" s="398"/>
      <c r="W51" s="292"/>
      <c r="X51" s="302"/>
      <c r="Y51" s="292"/>
      <c r="Z51" s="399"/>
      <c r="AA51" s="292"/>
      <c r="AB51" s="400"/>
      <c r="AC51" s="303"/>
    </row>
    <row r="52" spans="4:29" ht="15.6" thickTop="1" thickBot="1" x14ac:dyDescent="0.35">
      <c r="D52" s="326"/>
      <c r="E52" s="327"/>
      <c r="F52" s="327"/>
      <c r="G52" s="327"/>
      <c r="H52" s="327"/>
      <c r="I52" s="390"/>
      <c r="J52" s="391"/>
      <c r="K52" s="392"/>
      <c r="L52" s="392"/>
      <c r="M52" s="392"/>
      <c r="N52" s="392"/>
      <c r="O52" s="320"/>
    </row>
    <row r="53" spans="4:29" ht="15" thickBot="1" x14ac:dyDescent="0.35">
      <c r="D53" s="90"/>
      <c r="E53" s="152"/>
      <c r="F53" s="152"/>
      <c r="G53" s="152"/>
      <c r="H53" s="152"/>
      <c r="I53" s="356"/>
      <c r="J53" s="90"/>
      <c r="K53" s="110"/>
      <c r="L53" s="110"/>
      <c r="M53" s="362"/>
      <c r="N53" s="110"/>
      <c r="O53" s="110"/>
      <c r="P53" s="61"/>
      <c r="Q53" s="61"/>
      <c r="Z53" s="482"/>
    </row>
    <row r="54" spans="4:29" ht="16.2" thickBot="1" x14ac:dyDescent="0.35">
      <c r="D54" s="363"/>
      <c r="E54" s="567" t="s">
        <v>130</v>
      </c>
      <c r="F54" s="568"/>
      <c r="G54" s="568"/>
      <c r="H54" s="568"/>
      <c r="I54" s="568"/>
      <c r="J54" s="569"/>
      <c r="K54" s="364"/>
      <c r="L54" s="367" t="s">
        <v>10</v>
      </c>
      <c r="M54" s="366"/>
      <c r="N54" s="110"/>
      <c r="O54" s="110"/>
      <c r="P54" s="61"/>
      <c r="Q54" s="61"/>
    </row>
    <row r="55" spans="4:29" x14ac:dyDescent="0.3">
      <c r="D55" s="325"/>
      <c r="E55" s="357" t="s">
        <v>90</v>
      </c>
      <c r="F55" s="312"/>
      <c r="G55" s="312"/>
      <c r="H55" s="312"/>
      <c r="I55" s="570">
        <f>+K50</f>
        <v>30167</v>
      </c>
      <c r="J55" s="570"/>
      <c r="K55" s="312"/>
      <c r="L55" s="358">
        <f>+I55/$I$55</f>
        <v>1</v>
      </c>
      <c r="M55" s="365"/>
      <c r="N55" s="110"/>
      <c r="O55" s="110"/>
      <c r="P55" s="61"/>
      <c r="Q55" s="61"/>
    </row>
    <row r="56" spans="4:29" x14ac:dyDescent="0.3">
      <c r="D56" s="325"/>
      <c r="E56" s="357"/>
      <c r="F56" s="312"/>
      <c r="G56" s="312"/>
      <c r="H56" s="312"/>
      <c r="I56" s="312"/>
      <c r="J56" s="312"/>
      <c r="K56" s="312"/>
      <c r="L56" s="312"/>
      <c r="M56" s="365"/>
      <c r="N56" s="110"/>
      <c r="O56" s="110"/>
      <c r="P56" s="61"/>
      <c r="Q56" s="61"/>
    </row>
    <row r="57" spans="4:29" x14ac:dyDescent="0.3">
      <c r="D57" s="316"/>
      <c r="E57" s="313"/>
      <c r="F57" s="359" t="s">
        <v>115</v>
      </c>
      <c r="G57" s="359"/>
      <c r="H57" s="313"/>
      <c r="I57" s="571">
        <f>+I50</f>
        <v>22172</v>
      </c>
      <c r="J57" s="572"/>
      <c r="K57" s="313"/>
      <c r="L57" s="358">
        <f>+I57/$I$55</f>
        <v>0.73497530414028578</v>
      </c>
      <c r="M57" s="317"/>
      <c r="N57" s="110"/>
      <c r="O57" s="110"/>
      <c r="P57" s="61"/>
      <c r="Q57" s="61"/>
    </row>
    <row r="58" spans="4:29" x14ac:dyDescent="0.3">
      <c r="D58" s="316"/>
      <c r="E58" s="313"/>
      <c r="F58" s="313" t="s">
        <v>91</v>
      </c>
      <c r="G58" s="313"/>
      <c r="H58" s="313"/>
      <c r="I58" s="573">
        <f>+I44</f>
        <v>1836</v>
      </c>
      <c r="J58" s="574"/>
      <c r="K58" s="313"/>
      <c r="L58" s="358">
        <f>+I58/$I$55</f>
        <v>6.0861205953525378E-2</v>
      </c>
      <c r="M58" s="317"/>
      <c r="N58" s="110"/>
      <c r="O58" s="110"/>
      <c r="P58" s="61"/>
      <c r="Q58" s="61"/>
    </row>
    <row r="59" spans="4:29" ht="15" thickBot="1" x14ac:dyDescent="0.35">
      <c r="D59" s="316"/>
      <c r="E59" s="575" t="s">
        <v>116</v>
      </c>
      <c r="F59" s="575"/>
      <c r="G59" s="575"/>
      <c r="H59" s="313"/>
      <c r="I59" s="576">
        <f>+I55-I57-I58</f>
        <v>6159</v>
      </c>
      <c r="J59" s="577"/>
      <c r="K59" s="360"/>
      <c r="L59" s="361">
        <f>+I59/$I$55</f>
        <v>0.20416348990618888</v>
      </c>
      <c r="M59" s="317"/>
      <c r="N59" s="110"/>
      <c r="O59" s="110"/>
      <c r="P59" s="158"/>
      <c r="Q59" s="158"/>
    </row>
    <row r="60" spans="4:29" ht="15" thickTop="1" x14ac:dyDescent="0.3">
      <c r="D60" s="316"/>
      <c r="E60" s="471"/>
      <c r="F60" s="471" t="s">
        <v>131</v>
      </c>
      <c r="G60" s="471"/>
      <c r="H60" s="313"/>
      <c r="I60" s="578">
        <f>+I45</f>
        <v>1397</v>
      </c>
      <c r="J60" s="578"/>
      <c r="K60" s="360"/>
      <c r="L60" s="380"/>
      <c r="M60" s="317"/>
      <c r="N60" s="110"/>
      <c r="O60" s="110"/>
      <c r="P60" s="158"/>
      <c r="Q60" s="158"/>
    </row>
    <row r="61" spans="4:29" ht="15" thickBot="1" x14ac:dyDescent="0.35">
      <c r="D61" s="316"/>
      <c r="E61" s="379"/>
      <c r="F61" s="379" t="s">
        <v>132</v>
      </c>
      <c r="G61" s="379"/>
      <c r="H61" s="313"/>
      <c r="I61" s="576">
        <f>+I59-I60</f>
        <v>4762</v>
      </c>
      <c r="J61" s="576"/>
      <c r="K61" s="360"/>
      <c r="L61" s="361">
        <f>+I61/K50</f>
        <v>0.15785460934133325</v>
      </c>
      <c r="M61" s="317"/>
      <c r="N61" s="110"/>
      <c r="O61" s="110"/>
      <c r="P61" s="61"/>
      <c r="Q61" s="61"/>
    </row>
    <row r="62" spans="4:29" ht="15.6" thickTop="1" thickBot="1" x14ac:dyDescent="0.35">
      <c r="D62" s="318"/>
      <c r="E62" s="319"/>
      <c r="F62" s="319"/>
      <c r="G62" s="319"/>
      <c r="H62" s="319"/>
      <c r="I62" s="319"/>
      <c r="J62" s="319"/>
      <c r="K62" s="319"/>
      <c r="L62" s="319"/>
      <c r="M62" s="320"/>
      <c r="N62" s="110"/>
      <c r="O62" s="110"/>
      <c r="P62" s="61"/>
      <c r="Q62" s="61"/>
    </row>
    <row r="63" spans="4:29" ht="15" thickBot="1" x14ac:dyDescent="0.35"/>
    <row r="64" spans="4:29" ht="15" thickBot="1" x14ac:dyDescent="0.35">
      <c r="E64" s="567" t="s">
        <v>119</v>
      </c>
      <c r="F64" s="568"/>
      <c r="G64" s="568"/>
      <c r="H64" s="568"/>
      <c r="I64" s="568"/>
      <c r="J64" s="568"/>
      <c r="K64" s="568"/>
      <c r="L64" s="568"/>
      <c r="M64" s="569"/>
      <c r="P64" s="373"/>
      <c r="Q64" s="373"/>
    </row>
    <row r="65" spans="4:18" x14ac:dyDescent="0.3">
      <c r="E65" s="368"/>
      <c r="F65" s="321" t="s">
        <v>111</v>
      </c>
      <c r="G65" s="321"/>
      <c r="H65" s="321"/>
      <c r="I65" s="562">
        <v>11690000</v>
      </c>
      <c r="J65" s="562"/>
      <c r="K65" s="562"/>
      <c r="L65" s="562"/>
      <c r="M65" s="369"/>
      <c r="P65" s="57">
        <f>+I59/I65</f>
        <v>5.2686056458511551E-4</v>
      </c>
      <c r="Q65" s="57"/>
      <c r="R65" s="57"/>
    </row>
    <row r="66" spans="4:18" x14ac:dyDescent="0.3">
      <c r="E66" s="368"/>
      <c r="F66" s="321" t="s">
        <v>112</v>
      </c>
      <c r="G66" s="321"/>
      <c r="H66" s="321"/>
      <c r="I66" s="321"/>
      <c r="J66" s="321"/>
      <c r="K66" s="321"/>
      <c r="L66" s="322">
        <f>+I59/I65</f>
        <v>5.2686056458511551E-4</v>
      </c>
      <c r="M66" s="369"/>
    </row>
    <row r="67" spans="4:18" x14ac:dyDescent="0.3">
      <c r="E67" s="368"/>
      <c r="F67" s="589" t="s">
        <v>110</v>
      </c>
      <c r="G67" s="589"/>
      <c r="H67" s="321"/>
      <c r="I67" s="321"/>
      <c r="J67" s="321"/>
      <c r="K67" s="321"/>
      <c r="L67" s="381">
        <f>+I59/(I65/100000)</f>
        <v>52.686056458511544</v>
      </c>
      <c r="M67" s="369"/>
    </row>
    <row r="68" spans="4:18" ht="15" thickBot="1" x14ac:dyDescent="0.35">
      <c r="E68" s="370"/>
      <c r="F68" s="371"/>
      <c r="G68" s="371"/>
      <c r="H68" s="371"/>
      <c r="I68" s="371"/>
      <c r="J68" s="371"/>
      <c r="K68" s="371"/>
      <c r="L68" s="371"/>
      <c r="M68" s="372"/>
    </row>
    <row r="71" spans="4:18" ht="15" thickBot="1" x14ac:dyDescent="0.35"/>
    <row r="72" spans="4:18" ht="15" thickBot="1" x14ac:dyDescent="0.35">
      <c r="D72" s="537" t="s">
        <v>133</v>
      </c>
      <c r="E72" s="538"/>
      <c r="F72" s="538"/>
      <c r="G72" s="538"/>
      <c r="H72" s="538"/>
      <c r="I72" s="538"/>
      <c r="J72" s="538"/>
      <c r="K72" s="538"/>
      <c r="L72" s="538"/>
      <c r="M72" s="538"/>
      <c r="N72" s="538"/>
      <c r="O72" s="539"/>
    </row>
    <row r="73" spans="4:18" ht="15" thickBot="1" x14ac:dyDescent="0.35">
      <c r="D73" s="401"/>
      <c r="E73" s="540" t="s">
        <v>77</v>
      </c>
      <c r="F73" s="540"/>
      <c r="G73" s="540"/>
      <c r="H73" s="540"/>
      <c r="I73" s="402" t="s">
        <v>76</v>
      </c>
      <c r="J73" s="403"/>
      <c r="K73" s="541" t="s">
        <v>37</v>
      </c>
      <c r="L73" s="541"/>
      <c r="M73" s="404"/>
      <c r="N73" s="405" t="s">
        <v>75</v>
      </c>
      <c r="O73" s="406"/>
    </row>
    <row r="74" spans="4:18" x14ac:dyDescent="0.3">
      <c r="D74" s="407"/>
      <c r="E74" s="408" t="s">
        <v>43</v>
      </c>
      <c r="F74" s="409"/>
      <c r="G74" s="408"/>
      <c r="H74" s="408"/>
      <c r="I74" s="410">
        <v>38828</v>
      </c>
      <c r="J74" s="410"/>
      <c r="K74" s="411"/>
      <c r="L74" s="411"/>
      <c r="M74" s="411"/>
      <c r="N74" s="411"/>
      <c r="O74" s="412"/>
    </row>
    <row r="75" spans="4:18" x14ac:dyDescent="0.3">
      <c r="D75" s="407"/>
      <c r="E75" s="408" t="s">
        <v>44</v>
      </c>
      <c r="F75" s="408" t="s">
        <v>4</v>
      </c>
      <c r="G75" s="408"/>
      <c r="H75" s="408"/>
      <c r="I75" s="410">
        <v>2144</v>
      </c>
      <c r="J75" s="410"/>
      <c r="K75" s="411"/>
      <c r="L75" s="411"/>
      <c r="M75" s="411"/>
      <c r="N75" s="411"/>
      <c r="O75" s="412"/>
    </row>
    <row r="76" spans="4:18" x14ac:dyDescent="0.3">
      <c r="D76" s="407"/>
      <c r="E76" s="408"/>
      <c r="F76" s="408" t="s">
        <v>45</v>
      </c>
      <c r="G76" s="408"/>
      <c r="H76" s="408"/>
      <c r="I76" s="413"/>
      <c r="J76" s="410"/>
      <c r="K76" s="411"/>
      <c r="L76" s="410"/>
      <c r="M76" s="411"/>
      <c r="N76" s="414"/>
      <c r="O76" s="412"/>
    </row>
    <row r="77" spans="4:18" x14ac:dyDescent="0.3">
      <c r="D77" s="407"/>
      <c r="E77" s="408"/>
      <c r="F77" s="415" t="s">
        <v>72</v>
      </c>
      <c r="G77" s="415"/>
      <c r="H77" s="415"/>
      <c r="I77" s="410">
        <f>+I74-I75-I76</f>
        <v>36684</v>
      </c>
      <c r="J77" s="410"/>
      <c r="K77" s="411"/>
      <c r="L77" s="411"/>
      <c r="M77" s="411"/>
      <c r="N77" s="411"/>
      <c r="O77" s="412"/>
    </row>
    <row r="78" spans="4:18" x14ac:dyDescent="0.3">
      <c r="D78" s="407"/>
      <c r="E78" s="408" t="s">
        <v>79</v>
      </c>
      <c r="F78" s="16"/>
      <c r="G78" s="16"/>
      <c r="H78" s="16"/>
      <c r="I78" s="413">
        <f>+'Main Table'!AO141</f>
        <v>0</v>
      </c>
      <c r="J78" s="410"/>
      <c r="K78" s="411"/>
      <c r="L78" s="411"/>
      <c r="M78" s="411"/>
      <c r="N78" s="411"/>
      <c r="O78" s="412"/>
    </row>
    <row r="79" spans="4:18" x14ac:dyDescent="0.3">
      <c r="D79" s="542" t="s">
        <v>49</v>
      </c>
      <c r="E79" s="543"/>
      <c r="F79" s="543"/>
      <c r="G79" s="543"/>
      <c r="H79" s="543"/>
      <c r="I79" s="416">
        <f>+I77-I78</f>
        <v>36684</v>
      </c>
      <c r="J79" s="410"/>
      <c r="K79" s="411"/>
      <c r="L79" s="411"/>
      <c r="M79" s="411"/>
      <c r="N79" s="411"/>
      <c r="O79" s="412"/>
    </row>
    <row r="80" spans="4:18" x14ac:dyDescent="0.3">
      <c r="D80" s="407"/>
      <c r="E80" s="408" t="s">
        <v>73</v>
      </c>
      <c r="F80" s="16"/>
      <c r="G80" s="16"/>
      <c r="H80" s="16"/>
      <c r="I80" s="413">
        <f>+I78</f>
        <v>0</v>
      </c>
      <c r="J80" s="410"/>
      <c r="K80" s="411"/>
      <c r="L80" s="411"/>
      <c r="M80" s="411"/>
      <c r="N80" s="411"/>
      <c r="O80" s="412"/>
    </row>
    <row r="81" spans="4:18" ht="15" thickBot="1" x14ac:dyDescent="0.35">
      <c r="D81" s="542" t="s">
        <v>46</v>
      </c>
      <c r="E81" s="543"/>
      <c r="F81" s="543"/>
      <c r="G81" s="543"/>
      <c r="H81" s="543"/>
      <c r="I81" s="417">
        <f>+I79+I80</f>
        <v>36684</v>
      </c>
      <c r="J81" s="410"/>
      <c r="K81" s="545">
        <v>48675</v>
      </c>
      <c r="L81" s="545"/>
      <c r="M81" s="411"/>
      <c r="N81" s="418">
        <f>+K81-I81</f>
        <v>11991</v>
      </c>
      <c r="O81" s="412"/>
      <c r="R81" s="57"/>
    </row>
    <row r="82" spans="4:18" ht="15.6" thickTop="1" thickBot="1" x14ac:dyDescent="0.35">
      <c r="D82" s="419"/>
      <c r="E82" s="544" t="s">
        <v>71</v>
      </c>
      <c r="F82" s="544"/>
      <c r="G82" s="544"/>
      <c r="H82" s="415"/>
      <c r="I82" s="420">
        <f>+I81/K81</f>
        <v>0.75365177195685673</v>
      </c>
      <c r="J82" s="411"/>
      <c r="K82" s="411"/>
      <c r="L82" s="411"/>
      <c r="M82" s="411"/>
      <c r="N82" s="421">
        <f>+N81/K81</f>
        <v>0.2463482280431433</v>
      </c>
      <c r="O82" s="412"/>
    </row>
    <row r="83" spans="4:18" ht="15.6" thickTop="1" thickBot="1" x14ac:dyDescent="0.35">
      <c r="D83" s="422"/>
      <c r="E83" s="423"/>
      <c r="F83" s="423"/>
      <c r="G83" s="423"/>
      <c r="H83" s="423"/>
      <c r="I83" s="424"/>
      <c r="J83" s="425"/>
      <c r="K83" s="426"/>
      <c r="L83" s="426"/>
      <c r="M83" s="426"/>
      <c r="N83" s="426"/>
      <c r="O83" s="427"/>
    </row>
    <row r="84" spans="4:18" ht="15" thickBot="1" x14ac:dyDescent="0.35">
      <c r="D84" s="90"/>
      <c r="E84" s="152"/>
      <c r="F84" s="152"/>
      <c r="G84" s="152"/>
      <c r="H84" s="152"/>
      <c r="I84" s="356"/>
      <c r="J84" s="90"/>
      <c r="K84" s="110"/>
      <c r="L84" s="110"/>
      <c r="M84" s="362"/>
      <c r="N84" s="110"/>
      <c r="O84" s="110"/>
    </row>
    <row r="85" spans="4:18" ht="16.2" thickBot="1" x14ac:dyDescent="0.35">
      <c r="D85" s="428"/>
      <c r="E85" s="546" t="s">
        <v>134</v>
      </c>
      <c r="F85" s="547"/>
      <c r="G85" s="547"/>
      <c r="H85" s="547"/>
      <c r="I85" s="547"/>
      <c r="J85" s="548"/>
      <c r="K85" s="429"/>
      <c r="L85" s="441" t="s">
        <v>10</v>
      </c>
      <c r="M85" s="430"/>
      <c r="N85" s="110"/>
      <c r="O85" s="110"/>
    </row>
    <row r="86" spans="4:18" x14ac:dyDescent="0.3">
      <c r="D86" s="407"/>
      <c r="E86" s="431" t="s">
        <v>90</v>
      </c>
      <c r="F86" s="16"/>
      <c r="G86" s="16"/>
      <c r="H86" s="16"/>
      <c r="I86" s="549">
        <f>+K81</f>
        <v>48675</v>
      </c>
      <c r="J86" s="549"/>
      <c r="K86" s="16"/>
      <c r="L86" s="60">
        <f>+I86/$I$86</f>
        <v>1</v>
      </c>
      <c r="M86" s="432"/>
      <c r="N86" s="110"/>
      <c r="O86" s="110"/>
    </row>
    <row r="87" spans="4:18" x14ac:dyDescent="0.3">
      <c r="D87" s="407"/>
      <c r="E87" s="431"/>
      <c r="F87" s="16"/>
      <c r="G87" s="16"/>
      <c r="H87" s="16"/>
      <c r="I87" s="16"/>
      <c r="J87" s="16"/>
      <c r="K87" s="16"/>
      <c r="L87" s="16"/>
      <c r="M87" s="432"/>
      <c r="N87" s="110"/>
      <c r="O87" s="110"/>
    </row>
    <row r="88" spans="4:18" x14ac:dyDescent="0.3">
      <c r="D88" s="419"/>
      <c r="E88" s="15"/>
      <c r="F88" s="433" t="s">
        <v>115</v>
      </c>
      <c r="G88" s="433"/>
      <c r="H88" s="15"/>
      <c r="I88" s="550">
        <f>+I81</f>
        <v>36684</v>
      </c>
      <c r="J88" s="551"/>
      <c r="K88" s="15"/>
      <c r="L88" s="60">
        <f>+I88/$I$86</f>
        <v>0.75365177195685673</v>
      </c>
      <c r="M88" s="412"/>
      <c r="N88" s="110"/>
      <c r="O88" s="110"/>
    </row>
    <row r="89" spans="4:18" x14ac:dyDescent="0.3">
      <c r="D89" s="419"/>
      <c r="E89" s="15"/>
      <c r="F89" s="15" t="s">
        <v>91</v>
      </c>
      <c r="G89" s="15"/>
      <c r="H89" s="15"/>
      <c r="I89" s="552">
        <f>+I75</f>
        <v>2144</v>
      </c>
      <c r="J89" s="553"/>
      <c r="K89" s="15"/>
      <c r="L89" s="60">
        <f>+I89/$I$86</f>
        <v>4.4047252182845401E-2</v>
      </c>
      <c r="M89" s="412"/>
      <c r="N89" s="110"/>
      <c r="O89" s="110"/>
    </row>
    <row r="90" spans="4:18" ht="15" thickBot="1" x14ac:dyDescent="0.35">
      <c r="D90" s="419"/>
      <c r="E90" s="555" t="s">
        <v>116</v>
      </c>
      <c r="F90" s="555"/>
      <c r="G90" s="555"/>
      <c r="H90" s="15"/>
      <c r="I90" s="556">
        <f>+I86-I88-I89</f>
        <v>9847</v>
      </c>
      <c r="J90" s="557"/>
      <c r="K90" s="434"/>
      <c r="L90" s="435">
        <f>+I90/$I$86</f>
        <v>0.20230097586029788</v>
      </c>
      <c r="M90" s="412"/>
      <c r="N90" s="110"/>
      <c r="O90" s="110"/>
      <c r="P90" s="57">
        <f>+I90/I95</f>
        <v>4.5847474526762295E-4</v>
      </c>
      <c r="Q90" s="57"/>
    </row>
    <row r="91" spans="4:18" ht="15" thickTop="1" x14ac:dyDescent="0.3">
      <c r="D91" s="419"/>
      <c r="E91" s="436"/>
      <c r="F91" s="436"/>
      <c r="G91" s="436"/>
      <c r="H91" s="15"/>
      <c r="I91" s="437"/>
      <c r="J91" s="436"/>
      <c r="K91" s="434"/>
      <c r="L91" s="438"/>
      <c r="M91" s="412"/>
      <c r="N91" s="110"/>
      <c r="O91" s="110"/>
    </row>
    <row r="92" spans="4:18" ht="15" thickBot="1" x14ac:dyDescent="0.35">
      <c r="D92" s="439"/>
      <c r="E92" s="440"/>
      <c r="F92" s="440"/>
      <c r="G92" s="440"/>
      <c r="H92" s="440"/>
      <c r="I92" s="440"/>
      <c r="J92" s="440"/>
      <c r="K92" s="440"/>
      <c r="L92" s="440"/>
      <c r="M92" s="427"/>
      <c r="N92" s="110"/>
      <c r="O92" s="110"/>
    </row>
    <row r="93" spans="4:18" ht="15" thickBot="1" x14ac:dyDescent="0.35"/>
    <row r="94" spans="4:18" ht="15" thickBot="1" x14ac:dyDescent="0.35">
      <c r="E94" s="558" t="s">
        <v>121</v>
      </c>
      <c r="F94" s="559"/>
      <c r="G94" s="559"/>
      <c r="H94" s="559"/>
      <c r="I94" s="559"/>
      <c r="J94" s="559"/>
      <c r="K94" s="559"/>
      <c r="L94" s="559"/>
      <c r="M94" s="560"/>
    </row>
    <row r="95" spans="4:18" x14ac:dyDescent="0.3">
      <c r="E95" s="442"/>
      <c r="F95" s="443" t="s">
        <v>122</v>
      </c>
      <c r="G95" s="443"/>
      <c r="H95" s="443"/>
      <c r="I95" s="561">
        <v>21477737</v>
      </c>
      <c r="J95" s="561"/>
      <c r="K95" s="561"/>
      <c r="L95" s="561"/>
      <c r="M95" s="444"/>
    </row>
    <row r="96" spans="4:18" x14ac:dyDescent="0.3">
      <c r="E96" s="442"/>
      <c r="F96" s="443" t="s">
        <v>112</v>
      </c>
      <c r="G96" s="443"/>
      <c r="H96" s="443"/>
      <c r="I96" s="443"/>
      <c r="J96" s="443"/>
      <c r="K96" s="443"/>
      <c r="L96" s="445">
        <f>+I90/I95</f>
        <v>4.5847474526762295E-4</v>
      </c>
      <c r="M96" s="444"/>
    </row>
    <row r="97" spans="5:13" x14ac:dyDescent="0.3">
      <c r="E97" s="442"/>
      <c r="F97" s="554" t="s">
        <v>110</v>
      </c>
      <c r="G97" s="554"/>
      <c r="H97" s="443"/>
      <c r="I97" s="443"/>
      <c r="J97" s="443"/>
      <c r="K97" s="443"/>
      <c r="L97" s="446">
        <f>+I90/(I95/100000)</f>
        <v>45.847474526762298</v>
      </c>
      <c r="M97" s="444"/>
    </row>
    <row r="98" spans="5:13" x14ac:dyDescent="0.3">
      <c r="E98" s="442"/>
      <c r="F98" s="447"/>
      <c r="G98" s="447"/>
      <c r="H98" s="443"/>
      <c r="I98" s="443"/>
      <c r="J98" s="443"/>
      <c r="K98" s="443"/>
      <c r="L98" s="446"/>
      <c r="M98" s="444"/>
    </row>
    <row r="99" spans="5:13" x14ac:dyDescent="0.3">
      <c r="E99" s="442"/>
      <c r="F99" s="447" t="s">
        <v>123</v>
      </c>
      <c r="G99" s="447"/>
      <c r="H99" s="554" t="s">
        <v>124</v>
      </c>
      <c r="I99" s="554"/>
      <c r="J99" s="443"/>
      <c r="K99" s="443"/>
      <c r="L99" s="446"/>
      <c r="M99" s="444"/>
    </row>
    <row r="100" spans="5:13" ht="15" thickBot="1" x14ac:dyDescent="0.35">
      <c r="E100" s="448"/>
      <c r="F100" s="449"/>
      <c r="G100" s="449"/>
      <c r="H100" s="449"/>
      <c r="I100" s="449"/>
      <c r="J100" s="449"/>
      <c r="K100" s="449"/>
      <c r="L100" s="449"/>
      <c r="M100" s="450"/>
    </row>
    <row r="113" spans="6:6" x14ac:dyDescent="0.3">
      <c r="F113" s="1">
        <v>1248371</v>
      </c>
    </row>
    <row r="115" spans="6:6" x14ac:dyDescent="0.3">
      <c r="F115">
        <v>700</v>
      </c>
    </row>
    <row r="116" spans="6:6" x14ac:dyDescent="0.3">
      <c r="F116" s="87">
        <f>+F115/F113</f>
        <v>5.6073074430597954E-4</v>
      </c>
    </row>
    <row r="118" spans="6:6" x14ac:dyDescent="0.3">
      <c r="F118" s="1">
        <v>60000</v>
      </c>
    </row>
    <row r="119" spans="6:6" x14ac:dyDescent="0.3">
      <c r="F119">
        <f>+F116*F118</f>
        <v>33.643844658358773</v>
      </c>
    </row>
  </sheetData>
  <mergeCells count="50">
    <mergeCell ref="F67:G67"/>
    <mergeCell ref="E64:M64"/>
    <mergeCell ref="I61:J61"/>
    <mergeCell ref="S3:AC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E85:J85"/>
    <mergeCell ref="I86:J86"/>
    <mergeCell ref="I88:J88"/>
    <mergeCell ref="I89:J89"/>
    <mergeCell ref="H99:I99"/>
    <mergeCell ref="E90:G90"/>
    <mergeCell ref="I90:J90"/>
    <mergeCell ref="E94:M94"/>
    <mergeCell ref="I95:L95"/>
    <mergeCell ref="F97:G97"/>
    <mergeCell ref="D72:O72"/>
    <mergeCell ref="E73:H73"/>
    <mergeCell ref="K73:L73"/>
    <mergeCell ref="D79:H79"/>
    <mergeCell ref="E82:G82"/>
    <mergeCell ref="D81:H81"/>
    <mergeCell ref="K81:L8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workbookViewId="0">
      <selection activeCell="P67" sqref="P67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502" t="s">
        <v>5</v>
      </c>
      <c r="C1" s="502"/>
      <c r="D1" s="502"/>
    </row>
    <row r="2" spans="2:31" ht="15.6" x14ac:dyDescent="0.3">
      <c r="B2" s="502" t="s">
        <v>6</v>
      </c>
      <c r="C2" s="502"/>
      <c r="D2" s="502"/>
    </row>
    <row r="3" spans="2:31" ht="15.6" x14ac:dyDescent="0.3">
      <c r="B3" s="258" t="s">
        <v>13</v>
      </c>
      <c r="C3" s="258"/>
      <c r="D3" s="168"/>
    </row>
    <row r="4" spans="2:31" ht="15.6" x14ac:dyDescent="0.3">
      <c r="B4" s="169"/>
      <c r="C4" s="169"/>
      <c r="D4" s="168"/>
    </row>
    <row r="5" spans="2:31" ht="15.6" x14ac:dyDescent="0.3">
      <c r="B5" s="169"/>
      <c r="C5" s="169"/>
      <c r="D5" s="168" t="s">
        <v>85</v>
      </c>
      <c r="F5" s="259" t="s">
        <v>86</v>
      </c>
    </row>
    <row r="6" spans="2:31" ht="15.6" x14ac:dyDescent="0.3">
      <c r="B6" s="169"/>
      <c r="C6" s="169"/>
      <c r="D6" s="168"/>
      <c r="F6" t="s">
        <v>89</v>
      </c>
    </row>
    <row r="7" spans="2:31" ht="15.6" x14ac:dyDescent="0.3">
      <c r="B7" s="169"/>
      <c r="C7" s="169"/>
      <c r="D7" s="168"/>
      <c r="F7" s="259" t="s">
        <v>88</v>
      </c>
    </row>
    <row r="8" spans="2:31" ht="15.6" x14ac:dyDescent="0.3">
      <c r="B8" s="169"/>
      <c r="C8" s="169"/>
      <c r="D8" s="168"/>
      <c r="F8" s="259" t="s">
        <v>87</v>
      </c>
    </row>
    <row r="9" spans="2:31" ht="15.6" x14ac:dyDescent="0.3">
      <c r="B9" s="169"/>
      <c r="C9" s="169"/>
      <c r="D9" s="168"/>
      <c r="F9" s="259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10" t="s">
        <v>23</v>
      </c>
      <c r="E12" s="611"/>
      <c r="F12" s="611"/>
      <c r="G12" s="611"/>
      <c r="H12" s="611"/>
      <c r="I12" s="611"/>
      <c r="J12" s="611"/>
      <c r="K12" s="611"/>
      <c r="L12" s="611"/>
      <c r="M12" s="611"/>
      <c r="N12" s="611"/>
      <c r="O12" s="611"/>
      <c r="P12" s="611"/>
      <c r="Q12" s="611"/>
      <c r="R12" s="611"/>
      <c r="S12" s="611"/>
      <c r="T12" s="611"/>
      <c r="U12" s="612"/>
      <c r="V12" s="59"/>
    </row>
    <row r="13" spans="2:31" ht="15" thickBot="1" x14ac:dyDescent="0.35">
      <c r="D13" s="228" t="s">
        <v>19</v>
      </c>
      <c r="E13" s="76"/>
      <c r="F13" s="229" t="s">
        <v>20</v>
      </c>
      <c r="G13" s="77"/>
      <c r="H13" s="77"/>
      <c r="I13" s="77"/>
      <c r="J13" s="230" t="s">
        <v>21</v>
      </c>
      <c r="K13" s="77"/>
      <c r="L13" s="229" t="s">
        <v>18</v>
      </c>
      <c r="M13" s="78"/>
      <c r="N13" s="78"/>
      <c r="O13" s="78"/>
      <c r="P13" s="229" t="s">
        <v>20</v>
      </c>
      <c r="Q13" s="78"/>
      <c r="R13" s="78"/>
      <c r="S13" s="78"/>
      <c r="T13" s="229" t="s">
        <v>22</v>
      </c>
      <c r="U13" s="231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3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3">
        <f>+'Main Table'!J94</f>
        <v>9.5645574985899762E-3</v>
      </c>
      <c r="U14" s="231"/>
      <c r="V14" s="1"/>
      <c r="X14" s="235"/>
      <c r="Y14" s="609" t="s">
        <v>63</v>
      </c>
      <c r="Z14" s="609"/>
      <c r="AA14" s="609"/>
      <c r="AB14" s="609"/>
      <c r="AC14" s="609"/>
      <c r="AD14" s="236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86252.147969892045</v>
      </c>
      <c r="Q15" s="81"/>
      <c r="R15" s="81"/>
      <c r="S15" s="81"/>
      <c r="T15" s="82">
        <f t="shared" ref="T15:T59" si="5">+T14</f>
        <v>9.5645574985899762E-3</v>
      </c>
      <c r="U15" s="231"/>
      <c r="V15" s="1"/>
      <c r="X15" s="237"/>
      <c r="Y15" s="238" t="s">
        <v>64</v>
      </c>
      <c r="Z15" s="239"/>
      <c r="AA15" s="238" t="s">
        <v>65</v>
      </c>
      <c r="AB15" s="240"/>
      <c r="AC15" s="241" t="s">
        <v>10</v>
      </c>
      <c r="AD15" s="242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87077.111598526972</v>
      </c>
      <c r="Q16" s="81"/>
      <c r="R16" s="81"/>
      <c r="S16" s="81"/>
      <c r="T16" s="82">
        <f t="shared" si="5"/>
        <v>9.5645574985899762E-3</v>
      </c>
      <c r="U16" s="231"/>
      <c r="V16" s="1"/>
      <c r="X16" s="237"/>
      <c r="Y16" s="243" t="s">
        <v>60</v>
      </c>
      <c r="Z16" s="243"/>
      <c r="AA16" s="244">
        <v>330</v>
      </c>
      <c r="AB16" s="243"/>
      <c r="AC16" s="245">
        <f>+AA16/AA16</f>
        <v>1</v>
      </c>
      <c r="AD16" s="242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87909.965639222224</v>
      </c>
      <c r="Q17" s="81"/>
      <c r="R17" s="81"/>
      <c r="S17" s="81"/>
      <c r="T17" s="82">
        <f t="shared" si="5"/>
        <v>9.5645574985899762E-3</v>
      </c>
      <c r="U17" s="231"/>
      <c r="V17" s="1"/>
      <c r="X17" s="237"/>
      <c r="Y17" s="246" t="s">
        <v>62</v>
      </c>
      <c r="Z17" s="243"/>
      <c r="AA17" s="247">
        <v>53.42</v>
      </c>
      <c r="AB17" s="243"/>
      <c r="AC17" s="245">
        <f>+AA17/AA16</f>
        <v>0.16187878787878787</v>
      </c>
      <c r="AD17" s="242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88750.78556027764</v>
      </c>
      <c r="Q18" s="81"/>
      <c r="R18" s="81"/>
      <c r="S18" s="81"/>
      <c r="T18" s="82">
        <f t="shared" si="5"/>
        <v>9.5645574985899762E-3</v>
      </c>
      <c r="U18" s="231"/>
      <c r="V18" s="1"/>
      <c r="X18" s="237"/>
      <c r="Y18" s="248" t="s">
        <v>66</v>
      </c>
      <c r="Z18" s="248"/>
      <c r="AA18" s="244">
        <f>+AC18*AA17</f>
        <v>11.37846</v>
      </c>
      <c r="AB18" s="243"/>
      <c r="AC18" s="245">
        <v>0.21299999999999999</v>
      </c>
      <c r="AD18" s="242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89599.647551813949</v>
      </c>
      <c r="Q19" s="81"/>
      <c r="R19" s="81"/>
      <c r="S19" s="81"/>
      <c r="T19" s="82">
        <f t="shared" si="5"/>
        <v>9.5645574985899762E-3</v>
      </c>
      <c r="U19" s="231"/>
      <c r="V19" s="1"/>
      <c r="X19" s="249"/>
      <c r="Y19" s="250" t="s">
        <v>67</v>
      </c>
      <c r="Z19" s="250"/>
      <c r="AA19" s="251"/>
      <c r="AB19" s="252"/>
      <c r="AC19" s="251">
        <f>+AA18/AA16</f>
        <v>3.448018181818182E-2</v>
      </c>
      <c r="AD19" s="253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90456.628532676681</v>
      </c>
      <c r="Q20" s="81"/>
      <c r="R20" s="81"/>
      <c r="S20" s="81"/>
      <c r="T20" s="82">
        <f t="shared" si="5"/>
        <v>9.5645574985899762E-3</v>
      </c>
      <c r="U20" s="231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91321.80615740607</v>
      </c>
      <c r="Q21" s="81"/>
      <c r="R21" s="81"/>
      <c r="S21" s="81"/>
      <c r="T21" s="82">
        <f t="shared" si="5"/>
        <v>9.5645574985899762E-3</v>
      </c>
      <c r="U21" s="231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92195.258823273674</v>
      </c>
      <c r="Q22" s="81"/>
      <c r="R22" s="81"/>
      <c r="S22" s="81"/>
      <c r="T22" s="82">
        <f t="shared" si="5"/>
        <v>9.5645574985899762E-3</v>
      </c>
      <c r="U22" s="231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93077.065677386272</v>
      </c>
      <c r="Q23" s="81"/>
      <c r="R23" s="81"/>
      <c r="S23" s="81"/>
      <c r="T23" s="82">
        <f t="shared" si="5"/>
        <v>9.5645574985899762E-3</v>
      </c>
      <c r="U23" s="231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93967.306623857672</v>
      </c>
      <c r="Q24" s="81"/>
      <c r="R24" s="81"/>
      <c r="S24" s="81"/>
      <c r="T24" s="82">
        <f t="shared" si="5"/>
        <v>9.5645574985899762E-3</v>
      </c>
      <c r="U24" s="231"/>
      <c r="V24" s="1"/>
      <c r="X24" s="110"/>
      <c r="Y24" s="114"/>
      <c r="Z24" s="257"/>
      <c r="AA24" s="257"/>
      <c r="AB24" s="257"/>
      <c r="AC24" s="257"/>
      <c r="AD24" s="257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94866.062331049208</v>
      </c>
      <c r="Q25" s="81"/>
      <c r="R25" s="81"/>
      <c r="S25" s="81"/>
      <c r="T25" s="82">
        <f t="shared" si="5"/>
        <v>9.5645574985899762E-3</v>
      </c>
      <c r="U25" s="231"/>
      <c r="V25" s="1"/>
      <c r="X25" s="110"/>
      <c r="Y25" s="256"/>
      <c r="Z25" s="256"/>
      <c r="AA25" s="256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95773.414238879355</v>
      </c>
      <c r="Q26" s="81"/>
      <c r="R26" s="81"/>
      <c r="S26" s="81"/>
      <c r="T26" s="82">
        <f t="shared" si="5"/>
        <v>9.5645574985899762E-3</v>
      </c>
      <c r="U26" s="231"/>
      <c r="V26" s="1"/>
      <c r="X26" s="110"/>
      <c r="Y26" s="114"/>
      <c r="Z26" s="114"/>
      <c r="AA26" s="114"/>
      <c r="AB26" s="110"/>
      <c r="AC26" s="254"/>
      <c r="AD26" s="110"/>
      <c r="AE26" s="255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96689.444566203398</v>
      </c>
      <c r="Q27" s="81"/>
      <c r="R27" s="81"/>
      <c r="S27" s="81"/>
      <c r="T27" s="82">
        <f t="shared" si="5"/>
        <v>9.5645574985899762E-3</v>
      </c>
      <c r="U27" s="231"/>
      <c r="V27" s="1"/>
      <c r="X27" s="110"/>
      <c r="Y27" s="114"/>
      <c r="Z27" s="114"/>
      <c r="AA27" s="114"/>
      <c r="AB27" s="110"/>
      <c r="AC27" s="254"/>
      <c r="AD27" s="110"/>
      <c r="AE27" s="255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97614.236318263589</v>
      </c>
      <c r="Q28" s="81"/>
      <c r="R28" s="81"/>
      <c r="S28" s="81"/>
      <c r="T28" s="82">
        <f t="shared" si="5"/>
        <v>9.5645574985899762E-3</v>
      </c>
      <c r="U28" s="231"/>
      <c r="V28" s="1"/>
      <c r="X28" s="110"/>
      <c r="Y28" s="257"/>
      <c r="Z28" s="257"/>
      <c r="AA28" s="257"/>
      <c r="AB28" s="110"/>
      <c r="AC28" s="254"/>
      <c r="AD28" s="110"/>
      <c r="AE28" s="255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98547.873294210585</v>
      </c>
      <c r="Q29" s="81"/>
      <c r="R29" s="81"/>
      <c r="S29" s="81"/>
      <c r="T29" s="82">
        <f t="shared" si="5"/>
        <v>9.5645574985899762E-3</v>
      </c>
      <c r="U29" s="231"/>
      <c r="V29" s="88"/>
      <c r="X29" s="110"/>
      <c r="Y29" s="257"/>
      <c r="Z29" s="257"/>
      <c r="AA29" s="257"/>
      <c r="AB29" s="110"/>
      <c r="AC29" s="255"/>
      <c r="AD29" s="110"/>
      <c r="AE29" s="255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99490.440094696838</v>
      </c>
      <c r="Q30" s="81"/>
      <c r="R30" s="81"/>
      <c r="S30" s="81"/>
      <c r="T30" s="82">
        <f t="shared" si="5"/>
        <v>9.5645574985899762E-3</v>
      </c>
      <c r="U30" s="231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100442.0221295426</v>
      </c>
      <c r="Q31" s="81"/>
      <c r="R31" s="81"/>
      <c r="S31" s="81"/>
      <c r="T31" s="82">
        <f t="shared" si="5"/>
        <v>9.5645574985899762E-3</v>
      </c>
      <c r="U31" s="231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101402.70562547527</v>
      </c>
      <c r="Q32" s="81"/>
      <c r="R32" s="81"/>
      <c r="S32" s="81"/>
      <c r="T32" s="82">
        <f t="shared" si="5"/>
        <v>9.5645574985899762E-3</v>
      </c>
      <c r="U32" s="231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102372.57763394272</v>
      </c>
      <c r="Q33" s="81"/>
      <c r="R33" s="81"/>
      <c r="S33" s="81"/>
      <c r="T33" s="82">
        <f t="shared" si="5"/>
        <v>9.5645574985899762E-3</v>
      </c>
      <c r="U33" s="231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103351.72603900144</v>
      </c>
      <c r="Q34" s="81"/>
      <c r="R34" s="81"/>
      <c r="S34" s="81"/>
      <c r="T34" s="82">
        <f t="shared" si="5"/>
        <v>9.5645574985899762E-3</v>
      </c>
      <c r="U34" s="231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104340.23956528</v>
      </c>
      <c r="Q35" s="81"/>
      <c r="R35" s="81"/>
      <c r="S35" s="81"/>
      <c r="T35" s="82">
        <f t="shared" si="5"/>
        <v>9.5645574985899762E-3</v>
      </c>
      <c r="U35" s="231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105338.20778601879</v>
      </c>
      <c r="Q36" s="81"/>
      <c r="R36" s="81"/>
      <c r="S36" s="81"/>
      <c r="T36" s="82">
        <f t="shared" si="5"/>
        <v>9.5645574985899762E-3</v>
      </c>
      <c r="U36" s="231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106345.7211311866</v>
      </c>
      <c r="Q37" s="81"/>
      <c r="R37" s="81"/>
      <c r="S37" s="81"/>
      <c r="T37" s="82">
        <f t="shared" si="5"/>
        <v>9.5645574985899762E-3</v>
      </c>
      <c r="U37" s="231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107362.87089567486</v>
      </c>
      <c r="Q38" s="81"/>
      <c r="R38" s="81"/>
      <c r="S38" s="81"/>
      <c r="T38" s="82">
        <f t="shared" si="5"/>
        <v>9.5645574985899762E-3</v>
      </c>
      <c r="U38" s="231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108389.74924757025</v>
      </c>
      <c r="Q39" s="81"/>
      <c r="R39" s="81"/>
      <c r="S39" s="81"/>
      <c r="T39" s="82">
        <f t="shared" si="5"/>
        <v>9.5645574985899762E-3</v>
      </c>
      <c r="U39" s="231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109426.44923650639</v>
      </c>
      <c r="Q40" s="81"/>
      <c r="R40" s="81"/>
      <c r="S40" s="81"/>
      <c r="T40" s="82">
        <f t="shared" si="5"/>
        <v>9.5645574985899762E-3</v>
      </c>
      <c r="U40" s="231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110473.06480209551</v>
      </c>
      <c r="Q41" s="81"/>
      <c r="R41" s="81"/>
      <c r="S41" s="81"/>
      <c r="T41" s="82">
        <f t="shared" si="5"/>
        <v>9.5645574985899762E-3</v>
      </c>
      <c r="U41" s="231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111529.69078244062</v>
      </c>
      <c r="Q42" s="81"/>
      <c r="R42" s="81"/>
      <c r="S42" s="81"/>
      <c r="T42" s="82">
        <f t="shared" si="5"/>
        <v>9.5645574985899762E-3</v>
      </c>
      <c r="U42" s="231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112596.42292272925</v>
      </c>
      <c r="Q43" s="81"/>
      <c r="R43" s="81"/>
      <c r="S43" s="81"/>
      <c r="T43" s="82">
        <f t="shared" si="5"/>
        <v>9.5645574985899762E-3</v>
      </c>
      <c r="U43" s="231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113673.35788390927</v>
      </c>
      <c r="Q44" s="81"/>
      <c r="R44" s="81"/>
      <c r="S44" s="81"/>
      <c r="T44" s="82">
        <f t="shared" si="5"/>
        <v>9.5645574985899762E-3</v>
      </c>
      <c r="U44" s="231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114760.59325144773</v>
      </c>
      <c r="Q45" s="81"/>
      <c r="R45" s="81"/>
      <c r="S45" s="81"/>
      <c r="T45" s="82">
        <f t="shared" si="5"/>
        <v>9.5645574985899762E-3</v>
      </c>
      <c r="U45" s="231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115858.22754417351</v>
      </c>
      <c r="Q46" s="81"/>
      <c r="R46" s="81"/>
      <c r="S46" s="81"/>
      <c r="T46" s="82">
        <f t="shared" si="5"/>
        <v>9.5645574985899762E-3</v>
      </c>
      <c r="U46" s="231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116966.36022320449</v>
      </c>
      <c r="Q47" s="81"/>
      <c r="R47" s="81"/>
      <c r="S47" s="81"/>
      <c r="T47" s="82">
        <f t="shared" si="5"/>
        <v>9.5645574985899762E-3</v>
      </c>
      <c r="U47" s="231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118085.09170096014</v>
      </c>
      <c r="Q48" s="81"/>
      <c r="R48" s="81"/>
      <c r="S48" s="81"/>
      <c r="T48" s="82">
        <f t="shared" si="5"/>
        <v>9.5645574985899762E-3</v>
      </c>
      <c r="U48" s="231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119214.52335026025</v>
      </c>
      <c r="Q49" s="81"/>
      <c r="R49" s="81"/>
      <c r="S49" s="81"/>
      <c r="T49" s="82">
        <f t="shared" si="5"/>
        <v>9.5645574985899762E-3</v>
      </c>
      <c r="U49" s="231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120354.75751351082</v>
      </c>
      <c r="Q50" s="81"/>
      <c r="R50" s="81"/>
      <c r="S50" s="81"/>
      <c r="T50" s="82">
        <f t="shared" si="5"/>
        <v>9.5645574985899762E-3</v>
      </c>
      <c r="U50" s="231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121505.89751197766</v>
      </c>
      <c r="Q51" s="81"/>
      <c r="R51" s="81"/>
      <c r="S51" s="81"/>
      <c r="T51" s="82">
        <f t="shared" si="5"/>
        <v>9.5645574985899762E-3</v>
      </c>
      <c r="U51" s="231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122668.04765514877</v>
      </c>
      <c r="Q52" s="81"/>
      <c r="R52" s="81"/>
      <c r="S52" s="81"/>
      <c r="T52" s="82">
        <f t="shared" si="5"/>
        <v>9.5645574985899762E-3</v>
      </c>
      <c r="U52" s="231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123841.31325018623</v>
      </c>
      <c r="Q53" s="81"/>
      <c r="R53" s="81"/>
      <c r="S53" s="81"/>
      <c r="T53" s="82">
        <f t="shared" si="5"/>
        <v>9.5645574985899762E-3</v>
      </c>
      <c r="U53" s="231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125025.80061146854</v>
      </c>
      <c r="Q54" s="81"/>
      <c r="R54" s="81"/>
      <c r="S54" s="81"/>
      <c r="T54" s="82">
        <f t="shared" si="5"/>
        <v>9.5645574985899762E-3</v>
      </c>
      <c r="U54" s="231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126221.61707022419</v>
      </c>
      <c r="Q55" s="81"/>
      <c r="R55" s="81"/>
      <c r="S55" s="81"/>
      <c r="T55" s="82">
        <f t="shared" si="5"/>
        <v>9.5645574985899762E-3</v>
      </c>
      <c r="U55" s="231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127428.87098425737</v>
      </c>
      <c r="Q56" s="81"/>
      <c r="R56" s="81"/>
      <c r="S56" s="81"/>
      <c r="T56" s="82">
        <f t="shared" si="5"/>
        <v>9.5645574985899762E-3</v>
      </c>
      <c r="U56" s="231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128647.67174776673</v>
      </c>
      <c r="Q57" s="81"/>
      <c r="R57" s="81"/>
      <c r="S57" s="81"/>
      <c r="T57" s="82">
        <f t="shared" si="5"/>
        <v>9.5645574985899762E-3</v>
      </c>
      <c r="U57" s="231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129878.12980125798</v>
      </c>
      <c r="Q58" s="81"/>
      <c r="R58" s="81"/>
      <c r="S58" s="81"/>
      <c r="T58" s="82">
        <f t="shared" si="5"/>
        <v>9.5645574985899762E-3</v>
      </c>
      <c r="U58" s="231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131120.35664155145</v>
      </c>
      <c r="Q59" s="81"/>
      <c r="R59" s="81"/>
      <c r="S59" s="81"/>
      <c r="T59" s="82">
        <f t="shared" si="5"/>
        <v>9.5645574985899762E-3</v>
      </c>
      <c r="U59" s="231"/>
      <c r="V59" s="10"/>
    </row>
    <row r="60" spans="4:22" ht="15" thickBot="1" x14ac:dyDescent="0.35">
      <c r="D60" s="281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2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9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2020-05-22T00:26:28Z</cp:lastPrinted>
  <dcterms:created xsi:type="dcterms:W3CDTF">2020-03-28T00:34:23Z</dcterms:created>
  <dcterms:modified xsi:type="dcterms:W3CDTF">2020-06-09T01:04:23Z</dcterms:modified>
</cp:coreProperties>
</file>