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\Documents\excel\COVID-19\"/>
    </mc:Choice>
  </mc:AlternateContent>
  <xr:revisionPtr revIDLastSave="0" documentId="8_{23A068D5-6F1C-4510-BF86-1C93D5C06923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Table'!$A$1:$CI$76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70" i="2" l="1"/>
  <c r="S74" i="2" l="1"/>
  <c r="R74" i="2"/>
  <c r="P74" i="2"/>
  <c r="O74" i="2"/>
  <c r="N74" i="2"/>
  <c r="L74" i="2"/>
  <c r="J74" i="2"/>
  <c r="I74" i="2"/>
  <c r="H74" i="2"/>
  <c r="G74" i="2"/>
  <c r="E74" i="2"/>
  <c r="K70" i="2"/>
  <c r="Q70" i="2" s="1"/>
  <c r="Q74" i="2" s="1"/>
  <c r="BN75" i="1"/>
  <c r="BK75" i="1"/>
  <c r="BI75" i="1"/>
  <c r="BG75" i="1"/>
  <c r="BE75" i="1"/>
  <c r="BC75" i="1"/>
  <c r="BB75" i="1"/>
  <c r="BA75" i="1"/>
  <c r="AX75" i="1"/>
  <c r="AV75" i="1"/>
  <c r="AT75" i="1"/>
  <c r="AS75" i="1"/>
  <c r="AR75" i="1"/>
  <c r="AP75" i="1"/>
  <c r="AO75" i="1"/>
  <c r="AN75" i="1"/>
  <c r="AM75" i="1"/>
  <c r="AL75" i="1"/>
  <c r="AI75" i="1"/>
  <c r="AG75" i="1"/>
  <c r="AE75" i="1"/>
  <c r="AC75" i="1"/>
  <c r="AA75" i="1"/>
  <c r="Y75" i="1"/>
  <c r="X75" i="1"/>
  <c r="W75" i="1"/>
  <c r="V75" i="1"/>
  <c r="T75" i="1"/>
  <c r="S75" i="1"/>
  <c r="Q75" i="1"/>
  <c r="O75" i="1"/>
  <c r="M75" i="1"/>
  <c r="L75" i="1"/>
  <c r="K75" i="1"/>
  <c r="I75" i="1"/>
  <c r="BN74" i="1"/>
  <c r="BK74" i="1"/>
  <c r="BI74" i="1"/>
  <c r="BG74" i="1"/>
  <c r="BE74" i="1"/>
  <c r="BC74" i="1"/>
  <c r="BB74" i="1"/>
  <c r="BA74" i="1"/>
  <c r="AX74" i="1"/>
  <c r="AV74" i="1"/>
  <c r="AT74" i="1"/>
  <c r="AS74" i="1"/>
  <c r="AR74" i="1"/>
  <c r="AP74" i="1"/>
  <c r="AO74" i="1"/>
  <c r="AN74" i="1"/>
  <c r="AM74" i="1"/>
  <c r="AL74" i="1"/>
  <c r="AI74" i="1"/>
  <c r="AG74" i="1"/>
  <c r="AE74" i="1"/>
  <c r="AC74" i="1"/>
  <c r="AA74" i="1"/>
  <c r="Y74" i="1"/>
  <c r="X74" i="1"/>
  <c r="W74" i="1"/>
  <c r="V74" i="1"/>
  <c r="T74" i="1"/>
  <c r="S74" i="1"/>
  <c r="Q74" i="1"/>
  <c r="O74" i="1"/>
  <c r="M74" i="1"/>
  <c r="L74" i="1"/>
  <c r="K74" i="1"/>
  <c r="I74" i="1"/>
  <c r="D75" i="1"/>
  <c r="D74" i="1"/>
  <c r="BM69" i="1"/>
  <c r="BM75" i="1" s="1"/>
  <c r="BD69" i="1"/>
  <c r="BO69" i="1" s="1"/>
  <c r="BQ69" i="1" s="1"/>
  <c r="AZ69" i="1"/>
  <c r="BJ69" i="1" s="1"/>
  <c r="BJ75" i="1" s="1"/>
  <c r="AW69" i="1"/>
  <c r="AW74" i="1" s="1"/>
  <c r="AK69" i="1"/>
  <c r="AQ69" i="1" s="1"/>
  <c r="AQ75" i="1" s="1"/>
  <c r="AF69" i="1"/>
  <c r="AH69" i="1" s="1"/>
  <c r="AH75" i="1" s="1"/>
  <c r="Z69" i="1"/>
  <c r="P69" i="1"/>
  <c r="R69" i="1" s="1"/>
  <c r="R74" i="1" s="1"/>
  <c r="J69" i="1"/>
  <c r="J75" i="1" s="1"/>
  <c r="H69" i="1"/>
  <c r="AU69" i="1" s="1"/>
  <c r="AU75" i="1" s="1"/>
  <c r="I20" i="3"/>
  <c r="K74" i="2" l="1"/>
  <c r="AB69" i="1"/>
  <c r="AB74" i="1" s="1"/>
  <c r="J74" i="1"/>
  <c r="BM74" i="1"/>
  <c r="AK75" i="1"/>
  <c r="AQ74" i="1"/>
  <c r="AF74" i="1"/>
  <c r="U70" i="2"/>
  <c r="M70" i="2"/>
  <c r="M74" i="2" s="1"/>
  <c r="AZ74" i="1"/>
  <c r="BJ74" i="1"/>
  <c r="AZ75" i="1"/>
  <c r="AK74" i="1"/>
  <c r="AW75" i="1"/>
  <c r="AH74" i="1"/>
  <c r="AF75" i="1"/>
  <c r="Z74" i="1"/>
  <c r="Z75" i="1"/>
  <c r="R75" i="1"/>
  <c r="AU74" i="1"/>
  <c r="BO75" i="1"/>
  <c r="H74" i="1"/>
  <c r="P74" i="1"/>
  <c r="BD74" i="1"/>
  <c r="BO74" i="1"/>
  <c r="BF69" i="1"/>
  <c r="H75" i="1"/>
  <c r="P75" i="1"/>
  <c r="BD75" i="1"/>
  <c r="AD69" i="1"/>
  <c r="BL69" i="1"/>
  <c r="N69" i="1"/>
  <c r="S69" i="2"/>
  <c r="AB75" i="1" l="1"/>
  <c r="AD74" i="1"/>
  <c r="AD75" i="1"/>
  <c r="BF74" i="1"/>
  <c r="BF75" i="1"/>
  <c r="N75" i="1"/>
  <c r="N74" i="1"/>
  <c r="BL75" i="1"/>
  <c r="BL74" i="1"/>
  <c r="AF68" i="1"/>
  <c r="AF61" i="1"/>
  <c r="AF47" i="1"/>
  <c r="AF40" i="1"/>
  <c r="P61" i="1"/>
  <c r="P54" i="1"/>
  <c r="P40" i="1"/>
  <c r="P33" i="1"/>
  <c r="P47" i="1"/>
  <c r="AH68" i="1" l="1"/>
  <c r="R40" i="1"/>
  <c r="R54" i="1"/>
  <c r="R61" i="1"/>
  <c r="AH47" i="1"/>
  <c r="R47" i="1"/>
  <c r="K69" i="2" l="1"/>
  <c r="Q69" i="2" s="1"/>
  <c r="BD68" i="1"/>
  <c r="AZ68" i="1"/>
  <c r="AK68" i="1"/>
  <c r="AQ68" i="1" s="1"/>
  <c r="U69" i="2" l="1"/>
  <c r="M69" i="2"/>
  <c r="BF68" i="1"/>
  <c r="S68" i="2"/>
  <c r="D65" i="1"/>
  <c r="P68" i="1" s="1"/>
  <c r="Q67" i="2"/>
  <c r="K68" i="2"/>
  <c r="M68" i="2" s="1"/>
  <c r="BD67" i="1"/>
  <c r="AZ67" i="1"/>
  <c r="AK67" i="1"/>
  <c r="R68" i="1" l="1"/>
  <c r="AQ67" i="1"/>
  <c r="Q68" i="2"/>
  <c r="U68" i="2"/>
  <c r="BF67" i="1"/>
  <c r="W69" i="2" l="1"/>
  <c r="W70" i="2" s="1"/>
  <c r="W71" i="2" s="1"/>
  <c r="W72" i="2" s="1"/>
  <c r="W68" i="2"/>
  <c r="C68" i="2"/>
  <c r="C69" i="2" s="1"/>
  <c r="C70" i="2" s="1"/>
  <c r="C71" i="2" s="1"/>
  <c r="C72" i="2" s="1"/>
  <c r="BD70" i="1"/>
  <c r="D97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L87" i="3" l="1"/>
  <c r="L84" i="3"/>
  <c r="S65" i="2"/>
  <c r="I87" i="3" l="1"/>
  <c r="I84" i="3"/>
  <c r="I76" i="3"/>
  <c r="I78" i="3" s="1"/>
  <c r="I75" i="3"/>
  <c r="BD64" i="1"/>
  <c r="AZ64" i="1"/>
  <c r="AK64" i="1"/>
  <c r="AQ64" i="1" s="1"/>
  <c r="K65" i="2"/>
  <c r="Q65" i="2" s="1"/>
  <c r="S33" i="3"/>
  <c r="S34" i="3" s="1"/>
  <c r="S35" i="3" s="1"/>
  <c r="S36" i="3" s="1"/>
  <c r="S37" i="3" s="1"/>
  <c r="S38" i="3" s="1"/>
  <c r="S39" i="3" s="1"/>
  <c r="S40" i="3" s="1"/>
  <c r="S32" i="3"/>
  <c r="W19" i="3"/>
  <c r="S19" i="3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I77" i="3" l="1"/>
  <c r="I79" i="3" s="1"/>
  <c r="I80" i="3" s="1"/>
  <c r="BF64" i="1"/>
  <c r="U65" i="2"/>
  <c r="M65" i="2"/>
  <c r="S64" i="2"/>
  <c r="N79" i="3" l="1"/>
  <c r="N80" i="3" s="1"/>
  <c r="I86" i="3"/>
  <c r="L86" i="3" s="1"/>
  <c r="K64" i="2"/>
  <c r="Q64" i="2" s="1"/>
  <c r="BD63" i="1"/>
  <c r="AZ63" i="1"/>
  <c r="AK63" i="1"/>
  <c r="AQ63" i="1" s="1"/>
  <c r="W18" i="3"/>
  <c r="S18" i="3"/>
  <c r="I88" i="3" l="1"/>
  <c r="U64" i="2"/>
  <c r="M64" i="2"/>
  <c r="BF63" i="1"/>
  <c r="L95" i="3" l="1"/>
  <c r="L88" i="3"/>
  <c r="L94" i="3"/>
  <c r="S63" i="2"/>
  <c r="BD62" i="1"/>
  <c r="AZ62" i="1"/>
  <c r="BJ68" i="1" s="1"/>
  <c r="AK62" i="1"/>
  <c r="AQ62" i="1" s="1"/>
  <c r="K63" i="2"/>
  <c r="M63" i="2" s="1"/>
  <c r="W17" i="3"/>
  <c r="S17" i="3"/>
  <c r="BL68" i="1" l="1"/>
  <c r="BJ70" i="1"/>
  <c r="BF62" i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W16" i="3"/>
  <c r="S16" i="3"/>
  <c r="BF61" i="1" l="1"/>
  <c r="U62" i="2"/>
  <c r="M62" i="2"/>
  <c r="S61" i="2"/>
  <c r="W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P63" i="3"/>
  <c r="Q61" i="2" l="1"/>
  <c r="U61" i="2"/>
  <c r="BD60" i="1"/>
  <c r="AZ60" i="1"/>
  <c r="AK60" i="1"/>
  <c r="I57" i="3"/>
  <c r="I54" i="3"/>
  <c r="P62" i="3" s="1"/>
  <c r="L54" i="3" l="1"/>
  <c r="L57" i="3"/>
  <c r="AQ60" i="1"/>
  <c r="BF60" i="1"/>
  <c r="S60" i="2"/>
  <c r="T74" i="2"/>
  <c r="S59" i="2"/>
  <c r="K60" i="2"/>
  <c r="BD59" i="1"/>
  <c r="AZ59" i="1"/>
  <c r="AK59" i="1"/>
  <c r="AQ59" i="1" s="1"/>
  <c r="W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W13" i="3"/>
  <c r="BD58" i="1"/>
  <c r="AZ58" i="1"/>
  <c r="AK58" i="1"/>
  <c r="AQ58" i="1" s="1"/>
  <c r="U59" i="2" l="1"/>
  <c r="BF58" i="1"/>
  <c r="S58" i="2"/>
  <c r="Y11" i="3" l="1"/>
  <c r="Y10" i="3"/>
  <c r="Y9" i="3"/>
  <c r="Y8" i="3"/>
  <c r="Y7" i="3"/>
  <c r="K58" i="2" l="1"/>
  <c r="BD57" i="1"/>
  <c r="AZ57" i="1"/>
  <c r="AK57" i="1"/>
  <c r="AQ57" i="1" s="1"/>
  <c r="M58" i="2" l="1"/>
  <c r="U58" i="2"/>
  <c r="BF57" i="1"/>
  <c r="I46" i="3"/>
  <c r="I48" i="3" s="1"/>
  <c r="I45" i="3"/>
  <c r="S7" i="3"/>
  <c r="S8" i="3" s="1"/>
  <c r="S9" i="3" s="1"/>
  <c r="S10" i="3" s="1"/>
  <c r="S11" i="3" s="1"/>
  <c r="S12" i="3" s="1"/>
  <c r="S13" i="3" s="1"/>
  <c r="S14" i="3" s="1"/>
  <c r="S15" i="3" s="1"/>
  <c r="I47" i="3" l="1"/>
  <c r="I49" i="3" s="1"/>
  <c r="I56" i="3" s="1"/>
  <c r="AF30" i="2"/>
  <c r="AD30" i="2"/>
  <c r="S57" i="2"/>
  <c r="L54" i="7"/>
  <c r="K57" i="2"/>
  <c r="M57" i="2" s="1"/>
  <c r="BD56" i="1"/>
  <c r="AZ56" i="1"/>
  <c r="AK56" i="1"/>
  <c r="AQ56" i="1" s="1"/>
  <c r="I58" i="3" l="1"/>
  <c r="P58" i="3" s="1"/>
  <c r="L56" i="3"/>
  <c r="N49" i="3"/>
  <c r="I50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L65" i="3" l="1"/>
  <c r="L64" i="3"/>
  <c r="L58" i="3"/>
  <c r="N50" i="3"/>
  <c r="U56" i="2"/>
  <c r="BF55" i="1"/>
  <c r="V48" i="1"/>
  <c r="AF54" i="1" s="1"/>
  <c r="S55" i="2"/>
  <c r="L52" i="7"/>
  <c r="K55" i="2"/>
  <c r="U55" i="2" s="1"/>
  <c r="BD54" i="1"/>
  <c r="AZ54" i="1"/>
  <c r="AK54" i="1"/>
  <c r="AQ54" i="1" s="1"/>
  <c r="AH54" i="1" l="1"/>
  <c r="AH61" i="1"/>
  <c r="M55" i="2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86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74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BV13" i="1" l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23" i="1"/>
  <c r="B126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AF33" i="1" s="1"/>
  <c r="AH40" i="1" l="1"/>
  <c r="BV39" i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AF26" i="1" s="1"/>
  <c r="AH33" i="1" s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P26" i="1" s="1"/>
  <c r="R33" i="1" s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V70" i="1" s="1"/>
  <c r="BV71" i="1" s="1"/>
  <c r="BV72" i="1" s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Z26" i="1" l="1"/>
  <c r="Z27" i="1" s="1"/>
  <c r="AD27" i="1" s="1"/>
  <c r="BQ46" i="1"/>
  <c r="BO47" i="1"/>
  <c r="AU24" i="1"/>
  <c r="J25" i="1"/>
  <c r="H25" i="1"/>
  <c r="N25" i="1" s="1"/>
  <c r="AB24" i="1"/>
  <c r="AD26" i="1" l="1"/>
  <c r="Z28" i="1"/>
  <c r="AD28" i="1" s="1"/>
  <c r="BQ47" i="1"/>
  <c r="BO48" i="1"/>
  <c r="H26" i="1"/>
  <c r="J26" i="1"/>
  <c r="AU25" i="1"/>
  <c r="AB25" i="1"/>
  <c r="N26" i="1" l="1"/>
  <c r="Z29" i="1"/>
  <c r="AD29" i="1" s="1"/>
  <c r="BQ48" i="1"/>
  <c r="BO49" i="1"/>
  <c r="H27" i="1"/>
  <c r="N27" i="1" s="1"/>
  <c r="J27" i="1"/>
  <c r="AU26" i="1"/>
  <c r="AB26" i="1"/>
  <c r="Z30" i="1" l="1"/>
  <c r="AD30" i="1" s="1"/>
  <c r="BQ49" i="1"/>
  <c r="BO50" i="1"/>
  <c r="J28" i="1"/>
  <c r="H28" i="1"/>
  <c r="N28" i="1" s="1"/>
  <c r="AU27" i="1"/>
  <c r="AB27" i="1"/>
  <c r="Z31" i="1" l="1"/>
  <c r="AD31" i="1" s="1"/>
  <c r="BQ50" i="1"/>
  <c r="BO51" i="1"/>
  <c r="H29" i="1"/>
  <c r="N29" i="1" s="1"/>
  <c r="J29" i="1"/>
  <c r="AU28" i="1"/>
  <c r="AB28" i="1"/>
  <c r="Z32" i="1" l="1"/>
  <c r="AD32" i="1" s="1"/>
  <c r="BQ51" i="1"/>
  <c r="BO52" i="1"/>
  <c r="Z33" i="1"/>
  <c r="AD33" i="1" s="1"/>
  <c r="H30" i="1"/>
  <c r="N30" i="1" s="1"/>
  <c r="J30" i="1"/>
  <c r="AU29" i="1"/>
  <c r="AB29" i="1"/>
  <c r="BQ52" i="1" l="1"/>
  <c r="BO53" i="1"/>
  <c r="Z34" i="1"/>
  <c r="AD34" i="1" s="1"/>
  <c r="H31" i="1"/>
  <c r="J31" i="1"/>
  <c r="AU30" i="1"/>
  <c r="AB30" i="1"/>
  <c r="J32" i="1" l="1"/>
  <c r="N31" i="1"/>
  <c r="BQ53" i="1"/>
  <c r="BO54" i="1"/>
  <c r="H32" i="1"/>
  <c r="AB31" i="1"/>
  <c r="AU31" i="1"/>
  <c r="Z35" i="1"/>
  <c r="AD35" i="1" s="1"/>
  <c r="J33" i="1" l="1"/>
  <c r="N32" i="1"/>
  <c r="H33" i="1"/>
  <c r="BQ54" i="1"/>
  <c r="BO55" i="1"/>
  <c r="AU32" i="1"/>
  <c r="AB32" i="1"/>
  <c r="Z36" i="1"/>
  <c r="AD36" i="1" s="1"/>
  <c r="N33" i="1" l="1"/>
  <c r="AB33" i="1"/>
  <c r="AU33" i="1"/>
  <c r="H34" i="1"/>
  <c r="N34" i="1" s="1"/>
  <c r="BQ55" i="1"/>
  <c r="BO56" i="1"/>
  <c r="J34" i="1"/>
  <c r="Z37" i="1"/>
  <c r="AD37" i="1" s="1"/>
  <c r="AB34" i="1" l="1"/>
  <c r="J35" i="1"/>
  <c r="H35" i="1"/>
  <c r="N35" i="1" s="1"/>
  <c r="AU34" i="1"/>
  <c r="BQ56" i="1"/>
  <c r="BO57" i="1"/>
  <c r="Z38" i="1"/>
  <c r="AD38" i="1" s="1"/>
  <c r="J36" i="1"/>
  <c r="H36" i="1" l="1"/>
  <c r="N36" i="1" s="1"/>
  <c r="AB35" i="1"/>
  <c r="AU35" i="1"/>
  <c r="BQ57" i="1"/>
  <c r="BO58" i="1"/>
  <c r="Z39" i="1"/>
  <c r="AD39" i="1" s="1"/>
  <c r="J37" i="1"/>
  <c r="H37" i="1" l="1"/>
  <c r="N37" i="1" s="1"/>
  <c r="AU36" i="1"/>
  <c r="AB36" i="1"/>
  <c r="BQ58" i="1"/>
  <c r="BO59" i="1"/>
  <c r="Z40" i="1"/>
  <c r="AD40" i="1" s="1"/>
  <c r="J38" i="1"/>
  <c r="H38" i="1"/>
  <c r="N38" i="1" s="1"/>
  <c r="AU37" i="1"/>
  <c r="AB37" i="1"/>
  <c r="BQ59" i="1" l="1"/>
  <c r="BO60" i="1"/>
  <c r="Z41" i="1"/>
  <c r="AD41" i="1" s="1"/>
  <c r="AU38" i="1"/>
  <c r="J39" i="1"/>
  <c r="H39" i="1"/>
  <c r="N39" i="1" s="1"/>
  <c r="AB38" i="1"/>
  <c r="BQ60" i="1" l="1"/>
  <c r="BO61" i="1"/>
  <c r="H40" i="1"/>
  <c r="Z42" i="1"/>
  <c r="AD42" i="1" s="1"/>
  <c r="J40" i="1"/>
  <c r="AU39" i="1"/>
  <c r="AB39" i="1"/>
  <c r="N40" i="1" l="1"/>
  <c r="BQ61" i="1"/>
  <c r="BO62" i="1"/>
  <c r="Z43" i="1"/>
  <c r="AD43" i="1" s="1"/>
  <c r="J41" i="1"/>
  <c r="H41" i="1"/>
  <c r="N41" i="1" s="1"/>
  <c r="AU40" i="1"/>
  <c r="AB40" i="1"/>
  <c r="BQ62" i="1" l="1"/>
  <c r="BO63" i="1"/>
  <c r="Z44" i="1"/>
  <c r="AD44" i="1" s="1"/>
  <c r="J42" i="1"/>
  <c r="H42" i="1"/>
  <c r="N42" i="1" s="1"/>
  <c r="AU41" i="1"/>
  <c r="AB41" i="1"/>
  <c r="BO64" i="1" l="1"/>
  <c r="BQ63" i="1"/>
  <c r="Z45" i="1"/>
  <c r="AD45" i="1" s="1"/>
  <c r="J43" i="1"/>
  <c r="H43" i="1"/>
  <c r="N43" i="1" s="1"/>
  <c r="AU42" i="1"/>
  <c r="AB42" i="1"/>
  <c r="BO65" i="1" l="1"/>
  <c r="BQ64" i="1"/>
  <c r="Z46" i="1"/>
  <c r="AD46" i="1" s="1"/>
  <c r="J44" i="1"/>
  <c r="H44" i="1"/>
  <c r="AU43" i="1"/>
  <c r="AB43" i="1"/>
  <c r="BO66" i="1" l="1"/>
  <c r="BQ65" i="1"/>
  <c r="N44" i="1"/>
  <c r="Z47" i="1"/>
  <c r="AD47" i="1" s="1"/>
  <c r="AU44" i="1"/>
  <c r="J45" i="1"/>
  <c r="AB44" i="1"/>
  <c r="H45" i="1"/>
  <c r="N45" i="1" s="1"/>
  <c r="BO67" i="1" l="1"/>
  <c r="BQ66" i="1"/>
  <c r="H46" i="1"/>
  <c r="Z48" i="1"/>
  <c r="AD48" i="1" s="1"/>
  <c r="J46" i="1"/>
  <c r="AU45" i="1"/>
  <c r="AB45" i="1"/>
  <c r="BO68" i="1" l="1"/>
  <c r="BQ67" i="1"/>
  <c r="J47" i="1"/>
  <c r="N46" i="1"/>
  <c r="H47" i="1"/>
  <c r="Z49" i="1"/>
  <c r="AD49" i="1" s="1"/>
  <c r="AU46" i="1"/>
  <c r="AB46" i="1"/>
  <c r="BQ68" i="1" l="1"/>
  <c r="AU47" i="1"/>
  <c r="N47" i="1"/>
  <c r="AB47" i="1"/>
  <c r="H48" i="1"/>
  <c r="AU48" i="1" s="1"/>
  <c r="J48" i="1"/>
  <c r="Z50" i="1"/>
  <c r="AD50" i="1" s="1"/>
  <c r="AB48" i="1" l="1"/>
  <c r="J49" i="1"/>
  <c r="N48" i="1"/>
  <c r="H49" i="1"/>
  <c r="H50" i="1" s="1"/>
  <c r="N50" i="1" s="1"/>
  <c r="Z51" i="1"/>
  <c r="AU49" i="1"/>
  <c r="AB49" i="1"/>
  <c r="N49" i="1" l="1"/>
  <c r="J50" i="1"/>
  <c r="Z52" i="1"/>
  <c r="AD51" i="1"/>
  <c r="J51" i="1"/>
  <c r="H51" i="1"/>
  <c r="AU50" i="1"/>
  <c r="AB50" i="1"/>
  <c r="N51" i="1" l="1"/>
  <c r="Z53" i="1"/>
  <c r="AD52" i="1"/>
  <c r="H52" i="1"/>
  <c r="N52" i="1" s="1"/>
  <c r="J52" i="1"/>
  <c r="AB51" i="1"/>
  <c r="AU51" i="1"/>
  <c r="Z54" i="1" l="1"/>
  <c r="AD53" i="1"/>
  <c r="AU52" i="1"/>
  <c r="H53" i="1"/>
  <c r="J53" i="1"/>
  <c r="AB52" i="1"/>
  <c r="N53" i="1" l="1"/>
  <c r="AD54" i="1"/>
  <c r="Z55" i="1"/>
  <c r="AU53" i="1"/>
  <c r="H54" i="1"/>
  <c r="J54" i="1"/>
  <c r="AB53" i="1"/>
  <c r="N54" i="1" l="1"/>
  <c r="AD55" i="1"/>
  <c r="Z56" i="1"/>
  <c r="H55" i="1"/>
  <c r="N55" i="1" s="1"/>
  <c r="J55" i="1"/>
  <c r="AU54" i="1"/>
  <c r="AB54" i="1"/>
  <c r="AD56" i="1" l="1"/>
  <c r="Z57" i="1"/>
  <c r="J56" i="1"/>
  <c r="H56" i="1"/>
  <c r="AU55" i="1"/>
  <c r="AB55" i="1"/>
  <c r="N56" i="1" l="1"/>
  <c r="H57" i="1"/>
  <c r="J57" i="1"/>
  <c r="AD57" i="1"/>
  <c r="Z58" i="1"/>
  <c r="AB57" i="1"/>
  <c r="AU56" i="1"/>
  <c r="AB56" i="1"/>
  <c r="AD58" i="1" l="1"/>
  <c r="Z59" i="1"/>
  <c r="Z60" i="1" s="1"/>
  <c r="AU57" i="1"/>
  <c r="N57" i="1"/>
  <c r="J58" i="1"/>
  <c r="H58" i="1"/>
  <c r="AB58" i="1" s="1"/>
  <c r="Z61" i="1" l="1"/>
  <c r="AD60" i="1"/>
  <c r="AD59" i="1"/>
  <c r="AU58" i="1"/>
  <c r="J59" i="1"/>
  <c r="H59" i="1"/>
  <c r="N58" i="1"/>
  <c r="Z62" i="1" l="1"/>
  <c r="AD61" i="1"/>
  <c r="J60" i="1"/>
  <c r="H60" i="1"/>
  <c r="AU59" i="1"/>
  <c r="N59" i="1"/>
  <c r="AB59" i="1"/>
  <c r="Y12" i="3"/>
  <c r="Y13" i="3"/>
  <c r="AD62" i="1" l="1"/>
  <c r="Z63" i="1"/>
  <c r="J61" i="1"/>
  <c r="H61" i="1"/>
  <c r="AU60" i="1"/>
  <c r="N60" i="1"/>
  <c r="AB60" i="1"/>
  <c r="Z64" i="1" l="1"/>
  <c r="Z65" i="1" s="1"/>
  <c r="H62" i="1"/>
  <c r="J62" i="1"/>
  <c r="AD63" i="1"/>
  <c r="AU61" i="1"/>
  <c r="N61" i="1"/>
  <c r="AB61" i="1"/>
  <c r="AD65" i="1" l="1"/>
  <c r="Z66" i="1"/>
  <c r="AD64" i="1"/>
  <c r="AU62" i="1"/>
  <c r="H63" i="1"/>
  <c r="J63" i="1"/>
  <c r="N62" i="1"/>
  <c r="AB62" i="1"/>
  <c r="Z67" i="1" l="1"/>
  <c r="AD66" i="1"/>
  <c r="J64" i="1"/>
  <c r="H64" i="1"/>
  <c r="AU63" i="1"/>
  <c r="N63" i="1"/>
  <c r="AB63" i="1"/>
  <c r="Y17" i="3"/>
  <c r="Y18" i="3"/>
  <c r="Y15" i="3"/>
  <c r="Y16" i="3"/>
  <c r="Y14" i="3"/>
  <c r="Z68" i="1" l="1"/>
  <c r="AD67" i="1"/>
  <c r="H65" i="1"/>
  <c r="J65" i="1"/>
  <c r="AU64" i="1"/>
  <c r="N64" i="1"/>
  <c r="AB64" i="1"/>
  <c r="AD68" i="1" l="1"/>
  <c r="AB65" i="1"/>
  <c r="J66" i="1"/>
  <c r="H66" i="1"/>
  <c r="AU65" i="1"/>
  <c r="N65" i="1"/>
  <c r="AJ21" i="2" l="1"/>
  <c r="I21" i="3"/>
  <c r="J67" i="1"/>
  <c r="H67" i="1"/>
  <c r="AU66" i="1"/>
  <c r="N66" i="1"/>
  <c r="AB66" i="1"/>
  <c r="Y20" i="3"/>
  <c r="Y19" i="3"/>
  <c r="I23" i="3" l="1"/>
  <c r="I25" i="3" s="1"/>
  <c r="I27" i="3" s="1"/>
  <c r="I35" i="3"/>
  <c r="H68" i="1"/>
  <c r="J68" i="1"/>
  <c r="AU67" i="1"/>
  <c r="N67" i="1"/>
  <c r="AB67" i="1"/>
  <c r="T14" i="7" l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AU68" i="1"/>
  <c r="AF21" i="2"/>
  <c r="N68" i="1"/>
  <c r="AB68" i="1"/>
  <c r="I34" i="3"/>
  <c r="N27" i="3"/>
  <c r="N28" i="3" s="1"/>
  <c r="P15" i="7" l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32" i="3"/>
  <c r="Y22" i="3"/>
  <c r="Y21" i="3"/>
  <c r="I28" i="3" l="1"/>
  <c r="L35" i="3"/>
  <c r="L34" i="3"/>
  <c r="L32" i="3"/>
  <c r="I36" i="3"/>
  <c r="U24" i="3" s="1"/>
  <c r="Y24" i="3" s="1"/>
  <c r="L36" i="3" l="1"/>
  <c r="W24" i="3" s="1"/>
  <c r="Y23" i="3"/>
  <c r="W12" i="3" l="1"/>
</calcChain>
</file>

<file path=xl/sharedStrings.xml><?xml version="1.0" encoding="utf-8"?>
<sst xmlns="http://schemas.openxmlformats.org/spreadsheetml/2006/main" count="241" uniqueCount="133">
  <si>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</si>
  <si>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</si>
  <si>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</si>
  <si>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</si>
  <si>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</si>
  <si>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</si>
  <si>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</si>
  <si>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</si>
  <si>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</si>
  <si>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</si>
  <si>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</si>
  <si>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</si>
  <si>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</si>
  <si>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</si>
  <si>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</si>
  <si>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</si>
  <si>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</si>
  <si>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</si>
  <si>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</si>
  <si>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</si>
  <si>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</si>
  <si>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</si>
  <si>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</si>
  <si>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</si>
  <si>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</si>
  <si>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</si>
  <si>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</si>
  <si>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</si>
  <si>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</si>
  <si>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</si>
  <si>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</si>
  <si>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</si>
  <si>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</si>
  <si>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</si>
  <si>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</si>
  <si>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</si>
  <si>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</si>
  <si>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</si>
  <si>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</si>
  <si>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</si>
  <si>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</si>
  <si>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</si>
  <si>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</si>
  <si>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</si>
  <si>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</si>
  <si>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</si>
  <si>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</si>
  <si>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</si>
  <si>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</si>
  <si>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</si>
  <si>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</si>
  <si>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</si>
  <si>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</si>
  <si>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</si>
  <si>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</si>
  <si>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</si>
  <si>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</si>
  <si>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>NYC Metro Weighted Average (WA)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</si>
  <si>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</si>
  <si>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</si>
  <si>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</si>
  <si>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</si>
  <si>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</si>
  <si>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</si>
  <si>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</si>
  <si>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</si>
  <si>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</si>
  <si>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</si>
  <si>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</si>
  <si>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</si>
  <si>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</si>
  <si>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</si>
  <si>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</si>
  <si>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</si>
  <si>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</si>
  <si>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</si>
  <si>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</si>
  <si>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</si>
  <si>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</si>
  <si>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</si>
  <si>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</si>
  <si>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</si>
  <si>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</si>
  <si>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</si>
  <si>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</si>
  <si>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</si>
  <si>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</si>
  <si>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</si>
  <si>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</si>
  <si>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</si>
  <si>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</si>
  <si>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</si>
  <si>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</si>
  <si>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</si>
  <si>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</si>
  <si>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</si>
  <si>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</si>
  <si>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</si>
  <si>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</si>
  <si>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</si>
  <si>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</si>
  <si>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</si>
  <si>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</si>
  <si>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</si>
  <si>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</si>
  <si>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</si>
  <si>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</si>
  <si>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</si>
  <si>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</si>
  <si>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</si>
  <si>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</si>
  <si>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</si>
  <si>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</si>
  <si>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</si>
  <si>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</si>
  <si>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</si>
  <si>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</si>
  <si>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</si>
  <si>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</si>
  <si>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</si>
  <si>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OHIO Theoretical Recoveries (5/12/20)</t>
  </si>
  <si>
    <t>Changes</t>
  </si>
  <si>
    <t>FloridaTheoretical Recoveries (5/12/20)</t>
  </si>
  <si>
    <t>Florida Open Net Cases (5/11/20)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</si>
  <si>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</si>
  <si>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</si>
  <si>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</si>
  <si>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</si>
  <si>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</si>
  <si>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</si>
  <si>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</si>
  <si>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</si>
  <si>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Open Net Cases (5/12/20)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</si>
</sst>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5" fontId="10" fillId="7" borderId="26" xfId="2" applyNumberFormat="1" applyFont="1" applyFill="1" applyBorder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4" fontId="2" fillId="20" borderId="0" xfId="0" applyNumberFormat="1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0" fontId="0" fillId="5" borderId="1" xfId="0" applyFill="1" applyBorder="1" applyAlignment="1">
      <alignment horizontal="center"/>
    </xf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172" fontId="0" fillId="0" borderId="0" xfId="3" applyNumberFormat="1" applyFont="1"/>
    <xf numFmtId="165" fontId="0" fillId="13" borderId="10" xfId="2" applyNumberFormat="1" applyFont="1" applyFill="1" applyBorder="1"/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77</xdr:row>
      <xdr:rowOff>0</xdr:rowOff>
    </xdr:from>
    <xdr:to>
      <xdr:col>53</xdr:col>
      <xdr:colOff>160020</xdr:colOff>
      <xdr:row>77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78</xdr:row>
      <xdr:rowOff>0</xdr:rowOff>
    </xdr:from>
    <xdr:to>
      <xdr:col>53</xdr:col>
      <xdr:colOff>160020</xdr:colOff>
      <xdr:row>78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87</xdr:row>
      <xdr:rowOff>99060</xdr:rowOff>
    </xdr:from>
    <xdr:to>
      <xdr:col>21</xdr:col>
      <xdr:colOff>274320</xdr:colOff>
      <xdr:row>88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87</xdr:row>
      <xdr:rowOff>129540</xdr:rowOff>
    </xdr:from>
    <xdr:to>
      <xdr:col>22</xdr:col>
      <xdr:colOff>38100</xdr:colOff>
      <xdr:row>88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</xdr:colOff>
      <xdr:row>27</xdr:row>
      <xdr:rowOff>22860</xdr:rowOff>
    </xdr:from>
    <xdr:to>
      <xdr:col>12</xdr:col>
      <xdr:colOff>106680</xdr:colOff>
      <xdr:row>27</xdr:row>
      <xdr:rowOff>137160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61FC5C6E-0D1C-4E34-A2B2-2356FD2499BA}"/>
            </a:ext>
          </a:extLst>
        </xdr:cNvPr>
        <xdr:cNvSpPr/>
      </xdr:nvSpPr>
      <xdr:spPr>
        <a:xfrm rot="10800000">
          <a:off x="9631680" y="1440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32</xdr:col>
      <xdr:colOff>0</xdr:colOff>
      <xdr:row>7</xdr:row>
      <xdr:rowOff>0</xdr:rowOff>
    </xdr:from>
    <xdr:to>
      <xdr:col>32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9</xdr:row>
      <xdr:rowOff>0</xdr:rowOff>
    </xdr:from>
    <xdr:to>
      <xdr:col>26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11</xdr:row>
      <xdr:rowOff>0</xdr:rowOff>
    </xdr:from>
    <xdr:to>
      <xdr:col>26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12</xdr:row>
      <xdr:rowOff>0</xdr:rowOff>
    </xdr:from>
    <xdr:to>
      <xdr:col>26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26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14</xdr:row>
      <xdr:rowOff>0</xdr:rowOff>
    </xdr:from>
    <xdr:to>
      <xdr:col>26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15</xdr:row>
      <xdr:rowOff>0</xdr:rowOff>
    </xdr:from>
    <xdr:to>
      <xdr:col>26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16</xdr:row>
      <xdr:rowOff>0</xdr:rowOff>
    </xdr:from>
    <xdr:to>
      <xdr:col>26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17</xdr:row>
      <xdr:rowOff>0</xdr:rowOff>
    </xdr:from>
    <xdr:to>
      <xdr:col>26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18</xdr:row>
      <xdr:rowOff>0</xdr:rowOff>
    </xdr:from>
    <xdr:to>
      <xdr:col>26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20</xdr:row>
      <xdr:rowOff>0</xdr:rowOff>
    </xdr:from>
    <xdr:to>
      <xdr:col>26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22</xdr:row>
      <xdr:rowOff>0</xdr:rowOff>
    </xdr:from>
    <xdr:to>
      <xdr:col>26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26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43"/>
  <sheetViews>
    <sheetView tabSelected="1" zoomScaleNormal="100" workbookViewId="0">
      <selection activeCell="BB70" sqref="BB70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8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9.4414062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92" t="s">
        <v>5</v>
      </c>
      <c r="C1" s="492"/>
      <c r="D1" s="492"/>
    </row>
    <row r="2" spans="2:89" ht="15.6" x14ac:dyDescent="0.3">
      <c r="B2" s="492" t="s">
        <v>6</v>
      </c>
      <c r="C2" s="492"/>
      <c r="D2" s="492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97" t="s">
        <v>13</v>
      </c>
      <c r="C3" s="497"/>
      <c r="D3" s="168"/>
      <c r="E3" s="168"/>
      <c r="F3" s="168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93" t="s">
        <v>11</v>
      </c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494"/>
      <c r="Y4" s="494"/>
      <c r="Z4" s="494"/>
      <c r="AA4" s="494"/>
      <c r="AB4" s="494"/>
      <c r="AC4" s="11"/>
      <c r="AD4" s="328"/>
      <c r="AE4" s="453"/>
      <c r="AF4" s="453"/>
      <c r="AG4" s="453"/>
      <c r="AH4" s="453"/>
      <c r="AI4" s="12"/>
      <c r="AK4" s="475" t="s">
        <v>14</v>
      </c>
      <c r="AL4" s="476"/>
      <c r="AM4" s="476"/>
      <c r="AN4" s="476"/>
      <c r="AO4" s="476"/>
      <c r="AP4" s="476"/>
      <c r="AQ4" s="476"/>
      <c r="AR4" s="476"/>
      <c r="AS4" s="476"/>
      <c r="AT4" s="476"/>
      <c r="AU4" s="476"/>
      <c r="AV4" s="476"/>
      <c r="AW4" s="476"/>
      <c r="AX4" s="476"/>
      <c r="AY4" s="476"/>
      <c r="AZ4" s="476"/>
      <c r="BA4" s="476"/>
      <c r="BB4" s="476"/>
      <c r="BC4" s="476"/>
      <c r="BD4" s="476"/>
      <c r="BE4" s="476"/>
      <c r="BF4" s="476"/>
      <c r="BG4" s="476"/>
      <c r="BH4" s="476"/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7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7" t="s">
        <v>7</v>
      </c>
      <c r="E6" s="338"/>
      <c r="F6" s="498" t="s">
        <v>12</v>
      </c>
      <c r="G6" s="498"/>
      <c r="H6" s="498"/>
      <c r="I6" s="498"/>
      <c r="J6" s="498"/>
      <c r="K6" s="498"/>
      <c r="L6" s="498"/>
      <c r="M6" s="339"/>
      <c r="N6" s="339"/>
      <c r="O6" s="340"/>
      <c r="P6" s="504" t="s">
        <v>129</v>
      </c>
      <c r="Q6" s="498"/>
      <c r="R6" s="498"/>
      <c r="S6" s="498"/>
      <c r="T6" s="505"/>
      <c r="U6" s="3"/>
      <c r="V6" s="8" t="s">
        <v>7</v>
      </c>
      <c r="W6" s="30"/>
      <c r="X6" s="499">
        <v>1.2500000000000001E-2</v>
      </c>
      <c r="Y6" s="499"/>
      <c r="Z6" s="499"/>
      <c r="AA6" s="499"/>
      <c r="AB6" s="499"/>
      <c r="AC6" s="499"/>
      <c r="AD6" s="499"/>
      <c r="AE6" s="499"/>
      <c r="AF6" s="499"/>
      <c r="AG6" s="499"/>
      <c r="AH6" s="499"/>
      <c r="AI6" s="500"/>
      <c r="AJ6" s="3"/>
      <c r="AK6" s="484" t="s">
        <v>27</v>
      </c>
      <c r="AL6" s="485"/>
      <c r="AM6" s="485"/>
      <c r="AN6" s="485"/>
      <c r="AO6" s="485"/>
      <c r="AP6" s="485"/>
      <c r="AQ6" s="485"/>
      <c r="AR6" s="485"/>
      <c r="AS6" s="485"/>
      <c r="AT6" s="485"/>
      <c r="AU6" s="485"/>
      <c r="AV6" s="485"/>
      <c r="AW6" s="485"/>
      <c r="AX6" s="486"/>
      <c r="AY6" s="3"/>
      <c r="AZ6" s="487" t="s">
        <v>7</v>
      </c>
      <c r="BA6" s="479"/>
      <c r="BB6" s="479"/>
      <c r="BC6" s="97"/>
      <c r="BD6" s="478" t="s">
        <v>26</v>
      </c>
      <c r="BE6" s="478"/>
      <c r="BF6" s="478"/>
      <c r="BG6" s="478"/>
      <c r="BH6" s="478"/>
      <c r="BI6" s="478"/>
      <c r="BJ6" s="478"/>
      <c r="BK6" s="478"/>
      <c r="BL6" s="478"/>
      <c r="BM6" s="478"/>
      <c r="BN6" s="478"/>
      <c r="BO6" s="478"/>
      <c r="BP6" s="478"/>
      <c r="BQ6" s="479"/>
      <c r="BR6" s="479"/>
      <c r="BS6" s="479"/>
      <c r="BT6" s="480"/>
      <c r="BU6" s="3"/>
    </row>
    <row r="7" spans="2:89" ht="16.2" x14ac:dyDescent="0.3">
      <c r="D7" s="495" t="s">
        <v>20</v>
      </c>
      <c r="E7" s="496"/>
      <c r="F7" s="496"/>
      <c r="G7" s="496"/>
      <c r="H7" s="496"/>
      <c r="I7" s="496"/>
      <c r="J7" s="496"/>
      <c r="K7" s="331"/>
      <c r="L7" s="331"/>
      <c r="M7" s="331"/>
      <c r="N7" s="331"/>
      <c r="O7" s="341"/>
      <c r="P7" s="454"/>
      <c r="Q7" s="455"/>
      <c r="R7" s="455"/>
      <c r="S7" s="455"/>
      <c r="T7" s="341"/>
      <c r="U7" s="3"/>
      <c r="V7" s="501" t="s">
        <v>35</v>
      </c>
      <c r="W7" s="502"/>
      <c r="X7" s="502"/>
      <c r="Y7" s="502"/>
      <c r="Z7" s="502"/>
      <c r="AA7" s="502"/>
      <c r="AB7" s="502"/>
      <c r="AC7" s="502"/>
      <c r="AD7" s="502"/>
      <c r="AE7" s="502"/>
      <c r="AF7" s="502"/>
      <c r="AG7" s="502"/>
      <c r="AH7" s="502"/>
      <c r="AI7" s="503"/>
      <c r="AJ7" s="3"/>
      <c r="AK7" s="481" t="s">
        <v>78</v>
      </c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2"/>
      <c r="AX7" s="483"/>
      <c r="AZ7" s="481" t="s">
        <v>25</v>
      </c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  <c r="BO7" s="482"/>
      <c r="BP7" s="482"/>
      <c r="BQ7" s="482"/>
      <c r="BR7" s="482"/>
      <c r="BS7" s="482"/>
      <c r="BT7" s="483"/>
      <c r="BV7" s="176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2"/>
      <c r="N8" s="335" t="s">
        <v>117</v>
      </c>
      <c r="O8" s="342"/>
      <c r="P8" s="460" t="s">
        <v>1</v>
      </c>
      <c r="Q8" s="332"/>
      <c r="R8" s="53" t="s">
        <v>81</v>
      </c>
      <c r="S8" s="332"/>
      <c r="T8" s="342"/>
      <c r="V8" s="463" t="s">
        <v>1</v>
      </c>
      <c r="W8" s="464"/>
      <c r="X8" s="465" t="s">
        <v>15</v>
      </c>
      <c r="Y8" s="464"/>
      <c r="Z8" s="466" t="s">
        <v>2</v>
      </c>
      <c r="AA8" s="464"/>
      <c r="AB8" s="467" t="s">
        <v>3</v>
      </c>
      <c r="AC8" s="464"/>
      <c r="AD8" s="468" t="s">
        <v>117</v>
      </c>
      <c r="AE8" s="469"/>
      <c r="AF8" s="463" t="s">
        <v>1</v>
      </c>
      <c r="AG8" s="462"/>
      <c r="AH8" s="468" t="s">
        <v>130</v>
      </c>
      <c r="AI8" s="48"/>
      <c r="AK8" s="20" t="s">
        <v>1</v>
      </c>
      <c r="AL8" s="329"/>
      <c r="AM8" s="348" t="s">
        <v>15</v>
      </c>
      <c r="AN8" s="329"/>
      <c r="AO8" s="73" t="s">
        <v>2</v>
      </c>
      <c r="AP8" s="329"/>
      <c r="AQ8" s="330" t="s">
        <v>3</v>
      </c>
      <c r="AR8" s="329"/>
      <c r="AS8" s="348" t="s">
        <v>15</v>
      </c>
      <c r="AT8" s="329"/>
      <c r="AU8" s="349" t="s">
        <v>16</v>
      </c>
      <c r="AV8" s="346"/>
      <c r="AW8" s="350" t="s">
        <v>117</v>
      </c>
      <c r="AX8" s="351"/>
      <c r="AZ8" s="473" t="s">
        <v>1</v>
      </c>
      <c r="BA8" s="474"/>
      <c r="BB8" s="474"/>
      <c r="BC8" s="64"/>
      <c r="BD8" s="474" t="s">
        <v>24</v>
      </c>
      <c r="BE8" s="474"/>
      <c r="BF8" s="474"/>
      <c r="BG8" s="474"/>
      <c r="BH8" s="488"/>
      <c r="BI8" s="489" t="s">
        <v>129</v>
      </c>
      <c r="BJ8" s="490"/>
      <c r="BK8" s="490"/>
      <c r="BL8" s="491"/>
      <c r="BM8" s="473" t="s">
        <v>24</v>
      </c>
      <c r="BN8" s="474"/>
      <c r="BO8" s="474"/>
      <c r="BP8" s="64"/>
      <c r="BQ8" s="105"/>
      <c r="BR8" s="472"/>
      <c r="BS8" s="106"/>
      <c r="BT8" s="183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2"/>
      <c r="AZ9" s="456" t="s">
        <v>36</v>
      </c>
      <c r="BA9" s="64"/>
      <c r="BB9" s="98" t="s">
        <v>2</v>
      </c>
      <c r="BC9" s="65"/>
      <c r="BD9" s="457" t="s">
        <v>36</v>
      </c>
      <c r="BE9" s="64"/>
      <c r="BF9" s="63" t="s">
        <v>10</v>
      </c>
      <c r="BG9" s="156"/>
      <c r="BH9" s="470" t="s">
        <v>15</v>
      </c>
      <c r="BI9" s="64"/>
      <c r="BJ9" s="457" t="s">
        <v>131</v>
      </c>
      <c r="BK9" s="64"/>
      <c r="BL9" s="63" t="s">
        <v>10</v>
      </c>
      <c r="BM9" s="471" t="s">
        <v>117</v>
      </c>
      <c r="BN9" s="64"/>
      <c r="BO9" s="104" t="s">
        <v>2</v>
      </c>
      <c r="BP9" s="356"/>
      <c r="BQ9" s="105" t="s">
        <v>22</v>
      </c>
      <c r="BR9" s="64"/>
      <c r="BS9" s="106" t="s">
        <v>15</v>
      </c>
      <c r="BT9" s="184"/>
    </row>
    <row r="10" spans="2:89" x14ac:dyDescent="0.3">
      <c r="B10" s="172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3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2"/>
      <c r="AY10" s="1"/>
      <c r="AZ10" s="66"/>
      <c r="BA10" s="67"/>
      <c r="BB10" s="67"/>
      <c r="BC10" s="67"/>
      <c r="BD10" s="67"/>
      <c r="BE10" s="67"/>
      <c r="BF10" s="67"/>
      <c r="BG10" s="67"/>
      <c r="BH10" s="185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5"/>
      <c r="BU10" s="1"/>
      <c r="BV10">
        <v>1</v>
      </c>
    </row>
    <row r="11" spans="2:89" x14ac:dyDescent="0.3">
      <c r="B11" s="172">
        <f t="shared" ref="B11:B72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61"/>
      <c r="Q11" s="60"/>
      <c r="R11" s="60"/>
      <c r="S11" s="60"/>
      <c r="T11" s="42"/>
      <c r="U11" s="1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3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2"/>
      <c r="AY11" s="1"/>
      <c r="AZ11" s="66"/>
      <c r="BA11" s="67"/>
      <c r="BB11" s="67"/>
      <c r="BC11" s="67"/>
      <c r="BD11" s="67"/>
      <c r="BE11" s="67"/>
      <c r="BF11" s="67"/>
      <c r="BG11" s="67"/>
      <c r="BH11" s="185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5"/>
      <c r="BU11" s="1"/>
      <c r="BV11">
        <f>+BV10+1</f>
        <v>2</v>
      </c>
    </row>
    <row r="12" spans="2:89" x14ac:dyDescent="0.3">
      <c r="B12" s="17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61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3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5">
        <f t="shared" ref="AU12:AU43" si="9">+AO12/H12</f>
        <v>5.2977767195452243E-3</v>
      </c>
      <c r="AV12" s="345"/>
      <c r="AW12" s="24">
        <f t="shared" ref="AW12:AW43" si="10">+AO12/BV12</f>
        <v>59.333333333333336</v>
      </c>
      <c r="AX12" s="353"/>
      <c r="AY12" s="1"/>
      <c r="AZ12" s="66"/>
      <c r="BA12" s="67"/>
      <c r="BB12" s="67"/>
      <c r="BC12" s="67"/>
      <c r="BD12" s="67"/>
      <c r="BE12" s="67"/>
      <c r="BF12" s="67"/>
      <c r="BG12" s="67"/>
      <c r="BH12" s="185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5"/>
      <c r="BU12" s="1"/>
      <c r="BV12">
        <f t="shared" ref="BV12:BV72" si="11">+BV11+1</f>
        <v>3</v>
      </c>
    </row>
    <row r="13" spans="2:89" x14ac:dyDescent="0.3">
      <c r="B13" s="172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61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3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5">
        <f t="shared" si="9"/>
        <v>6.740238078917906E-3</v>
      </c>
      <c r="AV13" s="345"/>
      <c r="AW13" s="24">
        <f t="shared" si="10"/>
        <v>73.75</v>
      </c>
      <c r="AX13" s="355"/>
      <c r="AY13" s="1"/>
      <c r="AZ13" s="66"/>
      <c r="BA13" s="67"/>
      <c r="BB13" s="67"/>
      <c r="BC13" s="67"/>
      <c r="BD13" s="67"/>
      <c r="BE13" s="67"/>
      <c r="BF13" s="67"/>
      <c r="BG13" s="67"/>
      <c r="BH13" s="185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5"/>
      <c r="BU13" s="1"/>
      <c r="BV13">
        <f t="shared" si="11"/>
        <v>4</v>
      </c>
    </row>
    <row r="14" spans="2:89" x14ac:dyDescent="0.3">
      <c r="B14" s="172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61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3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5">
        <f t="shared" si="9"/>
        <v>6.8907685576782849E-3</v>
      </c>
      <c r="AV14" s="345"/>
      <c r="AW14" s="24">
        <f t="shared" si="10"/>
        <v>75.599999999999994</v>
      </c>
      <c r="AX14" s="355"/>
      <c r="AY14" s="1"/>
      <c r="AZ14" s="66"/>
      <c r="BA14" s="67"/>
      <c r="BB14" s="67"/>
      <c r="BC14" s="67"/>
      <c r="BD14" s="67"/>
      <c r="BE14" s="67"/>
      <c r="BF14" s="67"/>
      <c r="BG14" s="67"/>
      <c r="BH14" s="185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5"/>
      <c r="BU14" s="1"/>
      <c r="BV14">
        <f t="shared" si="11"/>
        <v>5</v>
      </c>
      <c r="CK14" s="56"/>
    </row>
    <row r="15" spans="2:89" x14ac:dyDescent="0.3">
      <c r="B15" s="172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61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3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5">
        <f t="shared" si="9"/>
        <v>5.7761944554397381E-3</v>
      </c>
      <c r="AV15" s="345"/>
      <c r="AW15" s="24">
        <f t="shared" si="10"/>
        <v>65.666666666666671</v>
      </c>
      <c r="AX15" s="355"/>
      <c r="AY15" s="1"/>
      <c r="AZ15" s="66"/>
      <c r="BA15" s="67"/>
      <c r="BB15" s="67"/>
      <c r="BC15" s="67"/>
      <c r="BD15" s="67"/>
      <c r="BE15" s="67"/>
      <c r="BF15" s="67"/>
      <c r="BG15" s="67"/>
      <c r="BH15" s="185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5"/>
      <c r="BU15" s="1"/>
      <c r="BV15">
        <f t="shared" si="11"/>
        <v>6</v>
      </c>
      <c r="CK15" s="56"/>
    </row>
    <row r="16" spans="2:89" x14ac:dyDescent="0.3">
      <c r="B16" s="172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61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3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5">
        <f t="shared" si="9"/>
        <v>2.1864575408205068E-2</v>
      </c>
      <c r="AV16" s="345"/>
      <c r="AW16" s="24">
        <f t="shared" si="10"/>
        <v>266.85714285714283</v>
      </c>
      <c r="AX16" s="355"/>
      <c r="AY16" s="1"/>
      <c r="AZ16" s="66"/>
      <c r="BA16" s="67"/>
      <c r="BB16" s="67"/>
      <c r="BC16" s="67"/>
      <c r="BD16" s="67"/>
      <c r="BE16" s="67"/>
      <c r="BF16" s="67"/>
      <c r="BG16" s="67"/>
      <c r="BH16" s="185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5"/>
      <c r="BU16" s="1"/>
      <c r="BV16">
        <f t="shared" si="11"/>
        <v>7</v>
      </c>
      <c r="CK16" s="56"/>
    </row>
    <row r="17" spans="2:89" x14ac:dyDescent="0.3">
      <c r="B17" s="172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61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3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5">
        <f t="shared" si="9"/>
        <v>2.4220655744002458E-2</v>
      </c>
      <c r="AV17" s="345"/>
      <c r="AW17" s="24">
        <f t="shared" si="10"/>
        <v>315.25</v>
      </c>
      <c r="AX17" s="355"/>
      <c r="AY17" s="1"/>
      <c r="AZ17" s="66"/>
      <c r="BA17" s="67"/>
      <c r="BB17" s="67"/>
      <c r="BC17" s="67"/>
      <c r="BD17" s="67"/>
      <c r="BE17" s="67"/>
      <c r="BF17" s="67"/>
      <c r="BG17" s="67"/>
      <c r="BH17" s="185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5"/>
      <c r="BU17" s="1"/>
      <c r="BV17">
        <f t="shared" si="11"/>
        <v>8</v>
      </c>
      <c r="CK17" s="56"/>
    </row>
    <row r="18" spans="2:89" x14ac:dyDescent="0.3">
      <c r="B18" s="172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61"/>
      <c r="Q18" s="60"/>
      <c r="R18" s="60"/>
      <c r="S18" s="60"/>
      <c r="T18" s="42"/>
      <c r="U18" s="1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3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5">
        <f t="shared" si="9"/>
        <v>2.6145430416417162E-2</v>
      </c>
      <c r="AV18" s="345"/>
      <c r="AW18" s="24">
        <f t="shared" si="10"/>
        <v>359</v>
      </c>
      <c r="AX18" s="355"/>
      <c r="AY18" s="1"/>
      <c r="AZ18" s="66"/>
      <c r="BA18" s="67"/>
      <c r="BB18" s="67"/>
      <c r="BC18" s="67"/>
      <c r="BD18" s="67"/>
      <c r="BE18" s="67"/>
      <c r="BF18" s="67"/>
      <c r="BG18" s="67"/>
      <c r="BH18" s="185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5"/>
      <c r="BU18" s="1"/>
      <c r="BV18">
        <f t="shared" si="11"/>
        <v>9</v>
      </c>
      <c r="CK18" s="56"/>
    </row>
    <row r="19" spans="2:89" x14ac:dyDescent="0.3">
      <c r="B19" s="173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61"/>
      <c r="Q19" s="60"/>
      <c r="R19" s="60"/>
      <c r="S19" s="60"/>
      <c r="T19" s="42"/>
      <c r="U19" s="396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3"/>
      <c r="AD19" s="33">
        <f t="shared" si="5"/>
        <v>258.3</v>
      </c>
      <c r="AE19" s="50"/>
      <c r="AF19" s="33"/>
      <c r="AG19" s="33"/>
      <c r="AH19" s="33"/>
      <c r="AI19" s="49"/>
      <c r="AJ19" s="396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5">
        <f t="shared" si="9"/>
        <v>3.1772027513920734E-2</v>
      </c>
      <c r="AV19" s="345"/>
      <c r="AW19" s="24">
        <f t="shared" si="10"/>
        <v>455.9</v>
      </c>
      <c r="AX19" s="355"/>
      <c r="AY19" s="396"/>
      <c r="AZ19" s="66"/>
      <c r="BA19" s="67"/>
      <c r="BB19" s="67"/>
      <c r="BC19" s="67"/>
      <c r="BD19" s="67"/>
      <c r="BE19" s="67"/>
      <c r="BF19" s="67"/>
      <c r="BG19" s="67"/>
      <c r="BH19" s="185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5"/>
      <c r="BU19" s="1"/>
      <c r="BV19">
        <f t="shared" si="11"/>
        <v>10</v>
      </c>
      <c r="CK19" s="56"/>
    </row>
    <row r="20" spans="2:89" x14ac:dyDescent="0.3">
      <c r="B20" s="173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61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3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5">
        <f t="shared" si="9"/>
        <v>3.3605136593344888E-2</v>
      </c>
      <c r="AV20" s="345"/>
      <c r="AW20" s="24">
        <f t="shared" si="10"/>
        <v>500.54545454545456</v>
      </c>
      <c r="AX20" s="355"/>
      <c r="AY20" s="10"/>
      <c r="AZ20" s="66"/>
      <c r="BA20" s="67"/>
      <c r="BB20" s="67"/>
      <c r="BC20" s="67"/>
      <c r="BD20" s="67"/>
      <c r="BE20" s="67"/>
      <c r="BF20" s="67"/>
      <c r="BG20" s="67"/>
      <c r="BH20" s="185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5"/>
      <c r="BU20" s="1"/>
      <c r="BV20">
        <f t="shared" si="11"/>
        <v>11</v>
      </c>
      <c r="CK20" s="56"/>
    </row>
    <row r="21" spans="2:89" x14ac:dyDescent="0.3">
      <c r="B21" s="173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61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5">
        <f t="shared" si="9"/>
        <v>3.8449301644872896E-2</v>
      </c>
      <c r="AV21" s="345"/>
      <c r="AW21" s="24">
        <f t="shared" si="10"/>
        <v>604.25</v>
      </c>
      <c r="AX21" s="355"/>
      <c r="AY21" s="1"/>
      <c r="AZ21" s="66"/>
      <c r="BA21" s="67"/>
      <c r="BB21" s="67"/>
      <c r="BC21" s="67"/>
      <c r="BD21" s="67"/>
      <c r="BE21" s="67"/>
      <c r="BF21" s="67"/>
      <c r="BG21" s="67"/>
      <c r="BH21" s="185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5"/>
      <c r="BU21" s="1"/>
      <c r="BV21">
        <f t="shared" si="11"/>
        <v>12</v>
      </c>
      <c r="CK21" s="56"/>
    </row>
    <row r="22" spans="2:89" x14ac:dyDescent="0.3">
      <c r="B22" s="173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61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5">
        <f t="shared" si="9"/>
        <v>4.1281694790731849E-2</v>
      </c>
      <c r="AV22" s="345"/>
      <c r="AW22" s="24">
        <f t="shared" si="10"/>
        <v>682.92307692307691</v>
      </c>
      <c r="AX22" s="355"/>
      <c r="AY22" s="1"/>
      <c r="AZ22" s="66"/>
      <c r="BA22" s="67"/>
      <c r="BB22" s="67"/>
      <c r="BC22" s="67"/>
      <c r="BD22" s="67"/>
      <c r="BE22" s="67"/>
      <c r="BF22" s="67"/>
      <c r="BG22" s="67"/>
      <c r="BH22" s="185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5"/>
      <c r="BU22" s="1"/>
      <c r="BV22">
        <f t="shared" si="11"/>
        <v>13</v>
      </c>
    </row>
    <row r="23" spans="2:89" x14ac:dyDescent="0.3">
      <c r="B23" s="173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61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5">
        <f t="shared" si="9"/>
        <v>4.2482552465115141E-2</v>
      </c>
      <c r="AV23" s="345"/>
      <c r="AW23" s="24">
        <f t="shared" si="10"/>
        <v>743.07142857142856</v>
      </c>
      <c r="AX23" s="355"/>
      <c r="AY23" s="1"/>
      <c r="AZ23" s="66"/>
      <c r="BA23" s="67"/>
      <c r="BB23" s="67"/>
      <c r="BC23" s="67"/>
      <c r="BD23" s="67"/>
      <c r="BE23" s="67"/>
      <c r="BF23" s="67"/>
      <c r="BG23" s="67"/>
      <c r="BH23" s="185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5"/>
      <c r="BU23" s="1"/>
      <c r="BV23">
        <f t="shared" si="11"/>
        <v>14</v>
      </c>
    </row>
    <row r="24" spans="2:89" x14ac:dyDescent="0.3">
      <c r="B24" s="173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3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61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3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5">
        <f t="shared" si="9"/>
        <v>4.3789874441355278E-2</v>
      </c>
      <c r="AV24" s="345"/>
      <c r="AW24" s="24">
        <f t="shared" si="10"/>
        <v>815.86666666666667</v>
      </c>
      <c r="AX24" s="355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5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5"/>
      <c r="BU24" s="1"/>
      <c r="BV24">
        <f t="shared" si="11"/>
        <v>15</v>
      </c>
    </row>
    <row r="25" spans="2:89" x14ac:dyDescent="0.3">
      <c r="B25" s="173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1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5">
        <f t="shared" si="9"/>
        <v>4.726349918862998E-2</v>
      </c>
      <c r="AV25" s="345"/>
      <c r="AW25" s="24">
        <f t="shared" si="10"/>
        <v>926.5625</v>
      </c>
      <c r="AX25" s="355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5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5"/>
      <c r="BU25" s="1"/>
      <c r="BV25">
        <f t="shared" si="11"/>
        <v>16</v>
      </c>
    </row>
    <row r="26" spans="2:89" x14ac:dyDescent="0.3">
      <c r="B26" s="395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6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6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5">
        <f t="shared" si="9"/>
        <v>5.3032157954823696E-2</v>
      </c>
      <c r="AV26" s="345"/>
      <c r="AW26" s="24">
        <f t="shared" si="10"/>
        <v>1057.4705882352941</v>
      </c>
      <c r="AX26" s="355"/>
      <c r="AY26" s="396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5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5"/>
      <c r="BU26" s="1"/>
      <c r="BV26">
        <f t="shared" si="11"/>
        <v>17</v>
      </c>
    </row>
    <row r="27" spans="2:89" x14ac:dyDescent="0.3">
      <c r="B27" s="173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5">
        <f t="shared" si="9"/>
        <v>5.3137147379880227E-2</v>
      </c>
      <c r="AV27" s="345"/>
      <c r="AW27" s="24">
        <f t="shared" si="10"/>
        <v>1092.8333333333333</v>
      </c>
      <c r="AX27" s="355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5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5"/>
      <c r="BU27" s="1"/>
      <c r="BV27">
        <f t="shared" si="11"/>
        <v>18</v>
      </c>
    </row>
    <row r="28" spans="2:89" x14ac:dyDescent="0.3">
      <c r="B28" s="173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5">
        <f t="shared" si="9"/>
        <v>5.3694633757212257E-2</v>
      </c>
      <c r="AV28" s="345"/>
      <c r="AW28" s="24">
        <f t="shared" si="10"/>
        <v>1140.7368421052631</v>
      </c>
      <c r="AX28" s="355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5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5"/>
      <c r="BU28" s="1"/>
      <c r="BV28">
        <f t="shared" si="11"/>
        <v>19</v>
      </c>
    </row>
    <row r="29" spans="2:89" x14ac:dyDescent="0.3">
      <c r="B29" s="173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5">
        <f t="shared" si="9"/>
        <v>5.2551952762702372E-2</v>
      </c>
      <c r="AV29" s="345"/>
      <c r="AW29" s="24">
        <f t="shared" si="10"/>
        <v>1144.55</v>
      </c>
      <c r="AX29" s="355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5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5"/>
      <c r="BU29" s="1"/>
      <c r="BV29">
        <f t="shared" si="11"/>
        <v>20</v>
      </c>
    </row>
    <row r="30" spans="2:89" x14ac:dyDescent="0.3">
      <c r="B30" s="173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5">
        <f t="shared" si="9"/>
        <v>5.5268969398282755E-2</v>
      </c>
      <c r="AV30" s="345"/>
      <c r="AW30" s="24">
        <f t="shared" si="10"/>
        <v>1234.6666666666667</v>
      </c>
      <c r="AX30" s="355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5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5"/>
      <c r="BU30" s="1"/>
      <c r="BV30">
        <f t="shared" si="11"/>
        <v>21</v>
      </c>
    </row>
    <row r="31" spans="2:89" x14ac:dyDescent="0.3">
      <c r="B31" s="173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5">
        <f t="shared" si="9"/>
        <v>5.4315576802233555E-2</v>
      </c>
      <c r="AV31" s="345"/>
      <c r="AW31" s="24">
        <f t="shared" si="10"/>
        <v>1241.5454545454545</v>
      </c>
      <c r="AX31" s="355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5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5"/>
      <c r="BU31" s="1"/>
      <c r="BV31">
        <f t="shared" si="11"/>
        <v>22</v>
      </c>
    </row>
    <row r="32" spans="2:89" x14ac:dyDescent="0.3">
      <c r="B32" s="173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16"/>
      <c r="S32" s="16"/>
      <c r="T32" s="41"/>
      <c r="U32" s="1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33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5">
        <f t="shared" si="9"/>
        <v>5.7148058001910376E-2</v>
      </c>
      <c r="AV32" s="345"/>
      <c r="AW32" s="24">
        <f t="shared" si="10"/>
        <v>1324.0434782608695</v>
      </c>
      <c r="AX32" s="355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5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5"/>
      <c r="BU32" s="1"/>
      <c r="BV32">
        <f t="shared" si="11"/>
        <v>23</v>
      </c>
    </row>
    <row r="33" spans="2:74" x14ac:dyDescent="0.3">
      <c r="B33" s="395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6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3">
        <f>+(AF33-AF26)/AF26</f>
        <v>0.77278544006824967</v>
      </c>
      <c r="AI33" s="50"/>
      <c r="AJ33" s="396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5">
        <f t="shared" si="9"/>
        <v>5.8243797965375689E-2</v>
      </c>
      <c r="AV33" s="345"/>
      <c r="AW33" s="24">
        <f t="shared" si="10"/>
        <v>1359.75</v>
      </c>
      <c r="AX33" s="355"/>
      <c r="AY33" s="396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5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5"/>
      <c r="BU33" s="1"/>
      <c r="BV33">
        <f t="shared" si="11"/>
        <v>24</v>
      </c>
    </row>
    <row r="34" spans="2:74" x14ac:dyDescent="0.3">
      <c r="B34" s="173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3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5">
        <f t="shared" si="9"/>
        <v>6.1767707486783167E-2</v>
      </c>
      <c r="AV34" s="345"/>
      <c r="AW34" s="24">
        <f t="shared" si="10"/>
        <v>1450.16</v>
      </c>
      <c r="AX34" s="355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5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5"/>
      <c r="BU34" s="1"/>
      <c r="BV34">
        <f t="shared" si="11"/>
        <v>25</v>
      </c>
    </row>
    <row r="35" spans="2:74" x14ac:dyDescent="0.3">
      <c r="B35" s="173">
        <f t="shared" si="6"/>
        <v>43935</v>
      </c>
      <c r="D35" s="17">
        <v>30720</v>
      </c>
      <c r="E35" s="16"/>
      <c r="F35" s="16"/>
      <c r="G35" s="16"/>
      <c r="H35" s="16">
        <f>+H34+D35+5109-168</f>
        <v>622602</v>
      </c>
      <c r="I35" s="334" t="s">
        <v>69</v>
      </c>
      <c r="J35" s="38">
        <f t="shared" si="1"/>
        <v>5.2339161857835798E-2</v>
      </c>
      <c r="K35" s="16"/>
      <c r="L35" s="16"/>
      <c r="M35" s="16"/>
      <c r="N35" s="16">
        <f t="shared" si="2"/>
        <v>23946.23076923077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</f>
        <v>30142</v>
      </c>
      <c r="AA35" s="344" t="s">
        <v>69</v>
      </c>
      <c r="AB35" s="46">
        <f t="shared" si="4"/>
        <v>4.8412950809666531E-2</v>
      </c>
      <c r="AC35" s="33"/>
      <c r="AD35" s="33">
        <f t="shared" si="5"/>
        <v>1159.3076923076924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5">
        <f t="shared" si="9"/>
        <v>6.23512291961799E-2</v>
      </c>
      <c r="AV35" s="345"/>
      <c r="AW35" s="24">
        <f t="shared" si="10"/>
        <v>1493.0769230769231</v>
      </c>
      <c r="AX35" s="355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5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5"/>
      <c r="BU35" s="1"/>
      <c r="BV35">
        <f t="shared" si="11"/>
        <v>26</v>
      </c>
    </row>
    <row r="36" spans="2:74" x14ac:dyDescent="0.3">
      <c r="B36" s="173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652944</v>
      </c>
      <c r="I36" s="16"/>
      <c r="J36" s="38">
        <f t="shared" si="1"/>
        <v>4.8734183314541234E-2</v>
      </c>
      <c r="K36" s="16"/>
      <c r="L36" s="16"/>
      <c r="M36" s="16"/>
      <c r="N36" s="16">
        <f t="shared" si="2"/>
        <v>24183.111111111109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32760</v>
      </c>
      <c r="AA36" s="33"/>
      <c r="AB36" s="46">
        <f t="shared" si="4"/>
        <v>5.0172756009703744E-2</v>
      </c>
      <c r="AC36" s="33"/>
      <c r="AD36" s="33">
        <f t="shared" si="5"/>
        <v>1213.3333333333333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5">
        <f t="shared" si="9"/>
        <v>7.4586794579627039E-2</v>
      </c>
      <c r="AV36" s="345"/>
      <c r="AW36" s="24">
        <f t="shared" si="10"/>
        <v>1803.7407407407406</v>
      </c>
      <c r="AX36" s="355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5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5"/>
      <c r="BU36" s="1"/>
      <c r="BV36">
        <f t="shared" si="11"/>
        <v>27</v>
      </c>
    </row>
    <row r="37" spans="2:74" x14ac:dyDescent="0.3">
      <c r="B37" s="173">
        <f t="shared" si="6"/>
        <v>43937</v>
      </c>
      <c r="D37" s="17">
        <v>29567</v>
      </c>
      <c r="E37" s="16"/>
      <c r="F37" s="16"/>
      <c r="G37" s="16"/>
      <c r="H37" s="16">
        <f t="shared" si="18"/>
        <v>682511</v>
      </c>
      <c r="I37" s="16"/>
      <c r="J37" s="38">
        <f t="shared" si="1"/>
        <v>4.5282596976157219E-2</v>
      </c>
      <c r="K37" s="16"/>
      <c r="L37" s="16"/>
      <c r="M37" s="16"/>
      <c r="N37" s="16">
        <f t="shared" si="2"/>
        <v>24375.392857142859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34936</v>
      </c>
      <c r="AA37" s="33"/>
      <c r="AB37" s="46">
        <f t="shared" si="4"/>
        <v>5.1187453389029629E-2</v>
      </c>
      <c r="AC37" s="33"/>
      <c r="AD37" s="33">
        <f t="shared" si="5"/>
        <v>1247.7142857142858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5">
        <f t="shared" si="9"/>
        <v>8.4259447833075221E-2</v>
      </c>
      <c r="AV37" s="345"/>
      <c r="AW37" s="24">
        <f t="shared" si="10"/>
        <v>2053.8571428571427</v>
      </c>
      <c r="AX37" s="355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5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5"/>
      <c r="BU37" s="1"/>
      <c r="BV37">
        <f t="shared" si="11"/>
        <v>28</v>
      </c>
    </row>
    <row r="38" spans="2:74" x14ac:dyDescent="0.3">
      <c r="B38" s="173">
        <f t="shared" si="6"/>
        <v>43938</v>
      </c>
      <c r="D38" s="17">
        <v>32165</v>
      </c>
      <c r="E38" s="16"/>
      <c r="F38" s="16"/>
      <c r="G38" s="16"/>
      <c r="H38" s="16">
        <f t="shared" si="18"/>
        <v>714676</v>
      </c>
      <c r="I38" s="16"/>
      <c r="J38" s="38">
        <f t="shared" si="1"/>
        <v>4.7127445564979907E-2</v>
      </c>
      <c r="K38" s="16"/>
      <c r="L38" s="16"/>
      <c r="M38" s="16"/>
      <c r="N38" s="16">
        <f t="shared" si="2"/>
        <v>24644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37464</v>
      </c>
      <c r="AA38" s="33"/>
      <c r="AB38" s="46">
        <f t="shared" si="4"/>
        <v>5.2420957188991937E-2</v>
      </c>
      <c r="AC38" s="33"/>
      <c r="AD38" s="33">
        <f t="shared" si="5"/>
        <v>1291.8620689655172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5">
        <f t="shared" si="9"/>
        <v>8.4667737548203656E-2</v>
      </c>
      <c r="AV38" s="345"/>
      <c r="AW38" s="24">
        <f t="shared" si="10"/>
        <v>2086.5517241379312</v>
      </c>
      <c r="AX38" s="355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5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5"/>
      <c r="BU38" s="1"/>
      <c r="BV38">
        <f t="shared" si="11"/>
        <v>29</v>
      </c>
    </row>
    <row r="39" spans="2:74" x14ac:dyDescent="0.3">
      <c r="B39" s="336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743733</v>
      </c>
      <c r="I39" s="16"/>
      <c r="J39" s="38">
        <f t="shared" si="1"/>
        <v>4.0657584695722254E-2</v>
      </c>
      <c r="K39" s="16"/>
      <c r="L39" s="16"/>
      <c r="M39" s="16"/>
      <c r="N39" s="16">
        <f t="shared" si="2"/>
        <v>24791.1</v>
      </c>
      <c r="O39" s="41"/>
      <c r="P39" s="17"/>
      <c r="Q39" s="16"/>
      <c r="R39" s="16"/>
      <c r="S39" s="16"/>
      <c r="T39" s="41"/>
      <c r="U39" s="90"/>
      <c r="V39" s="34">
        <v>1867</v>
      </c>
      <c r="W39" s="33"/>
      <c r="X39" s="33"/>
      <c r="Y39" s="33"/>
      <c r="Z39" s="33">
        <f t="shared" si="19"/>
        <v>39331</v>
      </c>
      <c r="AA39" s="33"/>
      <c r="AB39" s="46">
        <f t="shared" si="4"/>
        <v>5.2883225566164205E-2</v>
      </c>
      <c r="AC39" s="33"/>
      <c r="AD39" s="33">
        <f t="shared" si="5"/>
        <v>1311.0333333333333</v>
      </c>
      <c r="AE39" s="50"/>
      <c r="AF39" s="33"/>
      <c r="AG39" s="33"/>
      <c r="AH39" s="33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5">
        <f t="shared" si="9"/>
        <v>9.1792350211702317E-2</v>
      </c>
      <c r="AV39" s="345"/>
      <c r="AW39" s="24">
        <f t="shared" si="10"/>
        <v>2275.6333333333332</v>
      </c>
      <c r="AX39" s="355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5"/>
      <c r="BI39" s="67"/>
      <c r="BJ39" s="67"/>
      <c r="BK39" s="67"/>
      <c r="BL39" s="6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5"/>
      <c r="BU39" s="90"/>
      <c r="BV39" s="110">
        <f t="shared" si="11"/>
        <v>30</v>
      </c>
    </row>
    <row r="40" spans="2:74" x14ac:dyDescent="0.3">
      <c r="B40" s="395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769916</v>
      </c>
      <c r="I40" s="16"/>
      <c r="J40" s="38">
        <f t="shared" si="1"/>
        <v>3.5204838295463559E-2</v>
      </c>
      <c r="K40" s="16"/>
      <c r="L40" s="16"/>
      <c r="M40" s="16"/>
      <c r="N40" s="16">
        <f t="shared" si="2"/>
        <v>24836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6"/>
      <c r="V40" s="34">
        <v>1570</v>
      </c>
      <c r="W40" s="33"/>
      <c r="X40" s="33"/>
      <c r="Y40" s="33"/>
      <c r="Z40" s="33">
        <f t="shared" si="19"/>
        <v>40901</v>
      </c>
      <c r="AA40" s="33"/>
      <c r="AB40" s="46">
        <f t="shared" si="4"/>
        <v>5.312397716114485E-2</v>
      </c>
      <c r="AC40" s="33"/>
      <c r="AD40" s="33">
        <f t="shared" si="5"/>
        <v>1319.3870967741937</v>
      </c>
      <c r="AE40" s="50"/>
      <c r="AF40" s="33">
        <f>SUM(V34:V40)</f>
        <v>14701</v>
      </c>
      <c r="AG40" s="33"/>
      <c r="AH40" s="233">
        <f>+(AF40-AF33)/AF33</f>
        <v>0.17909849213987808</v>
      </c>
      <c r="AI40" s="50"/>
      <c r="AJ40" s="396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5">
        <f t="shared" si="9"/>
        <v>9.2221748866110065E-2</v>
      </c>
      <c r="AV40" s="345"/>
      <c r="AW40" s="24">
        <f t="shared" si="10"/>
        <v>2290.4193548387098</v>
      </c>
      <c r="AX40" s="355"/>
      <c r="AY40" s="396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5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5"/>
      <c r="BU40" s="1"/>
      <c r="BV40">
        <f t="shared" si="11"/>
        <v>31</v>
      </c>
    </row>
    <row r="41" spans="2:74" x14ac:dyDescent="0.3">
      <c r="B41" s="173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798059</v>
      </c>
      <c r="I41" s="16"/>
      <c r="J41" s="38">
        <f t="shared" si="1"/>
        <v>3.6553338286254601E-2</v>
      </c>
      <c r="K41" s="16"/>
      <c r="L41" s="16"/>
      <c r="M41" s="16"/>
      <c r="N41" s="16">
        <f t="shared" si="2"/>
        <v>24939.34375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42853</v>
      </c>
      <c r="AA41" s="33"/>
      <c r="AB41" s="46">
        <f t="shared" si="4"/>
        <v>5.369653120884546E-2</v>
      </c>
      <c r="AC41" s="33"/>
      <c r="AD41" s="33">
        <f t="shared" si="5"/>
        <v>1339.15625</v>
      </c>
      <c r="AE41" s="50"/>
      <c r="AF41" s="33"/>
      <c r="AG41" s="33"/>
      <c r="AH41" s="233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5">
        <f t="shared" si="9"/>
        <v>9.0706326224000988E-2</v>
      </c>
      <c r="AV41" s="345"/>
      <c r="AW41" s="24">
        <f t="shared" si="10"/>
        <v>2262.15625</v>
      </c>
      <c r="AX41" s="355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5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5"/>
      <c r="BU41" s="1"/>
      <c r="BV41">
        <f t="shared" si="11"/>
        <v>32</v>
      </c>
    </row>
    <row r="42" spans="2:74" x14ac:dyDescent="0.3">
      <c r="B42" s="173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824164</v>
      </c>
      <c r="I42" s="16"/>
      <c r="J42" s="38">
        <f t="shared" si="1"/>
        <v>3.2710614127526912E-2</v>
      </c>
      <c r="K42" s="16"/>
      <c r="L42" s="16"/>
      <c r="M42" s="16"/>
      <c r="N42" s="16">
        <f t="shared" ref="N42:N68" si="22">+H42/BV42</f>
        <v>24974.666666666668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45536</v>
      </c>
      <c r="AA42" s="33"/>
      <c r="AB42" s="46">
        <f t="shared" ref="AB42:AB68" si="23">+Z42/H42</f>
        <v>5.5251139336345678E-2</v>
      </c>
      <c r="AC42" s="33"/>
      <c r="AD42" s="33">
        <f t="shared" ref="AD42:AD68" si="24">+Z42/BV42</f>
        <v>1379.878787878788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5">
        <f t="shared" si="9"/>
        <v>0.10061468348532573</v>
      </c>
      <c r="AV42" s="345"/>
      <c r="AW42" s="24">
        <f t="shared" si="10"/>
        <v>2512.818181818182</v>
      </c>
      <c r="AX42" s="355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5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5"/>
      <c r="BU42" s="1"/>
      <c r="BV42">
        <f t="shared" si="11"/>
        <v>33</v>
      </c>
    </row>
    <row r="43" spans="2:74" x14ac:dyDescent="0.3">
      <c r="B43" s="173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854374</v>
      </c>
      <c r="I43" s="16"/>
      <c r="J43" s="38">
        <f t="shared" si="1"/>
        <v>3.6655325881741981E-2</v>
      </c>
      <c r="K43" s="16"/>
      <c r="L43" s="16"/>
      <c r="M43" s="16"/>
      <c r="N43" s="16">
        <f t="shared" si="22"/>
        <v>25128.647058823528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47894</v>
      </c>
      <c r="AA43" s="33"/>
      <c r="AB43" s="46">
        <f t="shared" si="23"/>
        <v>5.6057417477591784E-2</v>
      </c>
      <c r="AC43" s="33"/>
      <c r="AD43" s="33">
        <f t="shared" si="24"/>
        <v>1408.6470588235295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5">
        <f t="shared" si="9"/>
        <v>9.8376120996191363E-2</v>
      </c>
      <c r="AV43" s="345"/>
      <c r="AW43" s="24">
        <f t="shared" si="10"/>
        <v>2472.0588235294117</v>
      </c>
      <c r="AX43" s="355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5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5"/>
      <c r="BU43" s="1"/>
      <c r="BV43">
        <f t="shared" si="11"/>
        <v>34</v>
      </c>
    </row>
    <row r="44" spans="2:74" x14ac:dyDescent="0.3">
      <c r="B44" s="173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886274</v>
      </c>
      <c r="I44" s="16"/>
      <c r="J44" s="38">
        <f t="shared" si="1"/>
        <v>3.7337278522052403E-2</v>
      </c>
      <c r="K44" s="16"/>
      <c r="L44" s="16"/>
      <c r="M44" s="16"/>
      <c r="N44" s="16">
        <f t="shared" si="22"/>
        <v>25322.114285714284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50234</v>
      </c>
      <c r="AA44" s="33"/>
      <c r="AB44" s="46">
        <f t="shared" si="23"/>
        <v>5.6679988355745517E-2</v>
      </c>
      <c r="AC44" s="33"/>
      <c r="AD44" s="33">
        <f t="shared" si="24"/>
        <v>1435.2571428571428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5">
        <f t="shared" ref="AU44:AU68" si="25">+AO44/H44</f>
        <v>9.6947445146760486E-2</v>
      </c>
      <c r="AV44" s="345"/>
      <c r="AW44" s="24">
        <f t="shared" ref="AW44:AW68" si="26">+AO44/BV44</f>
        <v>2454.9142857142856</v>
      </c>
      <c r="AX44" s="355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5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5"/>
      <c r="BU44" s="1"/>
      <c r="BV44">
        <f t="shared" si="11"/>
        <v>35</v>
      </c>
    </row>
    <row r="45" spans="2:74" x14ac:dyDescent="0.3">
      <c r="B45" s="173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925038</v>
      </c>
      <c r="I45" s="16"/>
      <c r="J45" s="38">
        <f t="shared" si="1"/>
        <v>4.3738166752042819E-2</v>
      </c>
      <c r="K45" s="16"/>
      <c r="L45" s="16"/>
      <c r="M45" s="16"/>
      <c r="N45" s="16">
        <f t="shared" si="22"/>
        <v>25695.5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52191</v>
      </c>
      <c r="AA45" s="33"/>
      <c r="AB45" s="46">
        <f t="shared" si="23"/>
        <v>5.6420384892296317E-2</v>
      </c>
      <c r="AC45" s="33"/>
      <c r="AD45" s="33">
        <f t="shared" si="24"/>
        <v>1449.75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5">
        <f t="shared" si="25"/>
        <v>0.11938104164369463</v>
      </c>
      <c r="AV45" s="345"/>
      <c r="AW45" s="24">
        <f t="shared" si="26"/>
        <v>3067.5555555555557</v>
      </c>
      <c r="AX45" s="355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5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5"/>
      <c r="BU45" s="1"/>
      <c r="BV45">
        <f t="shared" si="11"/>
        <v>36</v>
      </c>
    </row>
    <row r="46" spans="2:74" x14ac:dyDescent="0.3">
      <c r="B46" s="173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960651</v>
      </c>
      <c r="I46" s="16"/>
      <c r="J46" s="38">
        <f t="shared" si="1"/>
        <v>3.8289237847526261E-2</v>
      </c>
      <c r="K46" s="16"/>
      <c r="L46" s="16"/>
      <c r="M46" s="16"/>
      <c r="N46" s="16">
        <f t="shared" si="22"/>
        <v>25963.54054054054</v>
      </c>
      <c r="O46" s="41"/>
      <c r="P46" s="17"/>
      <c r="Q46" s="16"/>
      <c r="R46" s="16"/>
      <c r="S46" s="16"/>
      <c r="T46" s="41"/>
      <c r="U46" s="1"/>
      <c r="V46" s="34">
        <v>2065</v>
      </c>
      <c r="W46" s="33"/>
      <c r="X46" s="33"/>
      <c r="Y46" s="33"/>
      <c r="Z46" s="33">
        <f t="shared" si="19"/>
        <v>54256</v>
      </c>
      <c r="AA46" s="33"/>
      <c r="AB46" s="46">
        <f t="shared" si="23"/>
        <v>5.6478367273859083E-2</v>
      </c>
      <c r="AC46" s="33"/>
      <c r="AD46" s="33">
        <f t="shared" si="24"/>
        <v>1466.3783783783783</v>
      </c>
      <c r="AE46" s="50"/>
      <c r="AF46" s="33"/>
      <c r="AG46" s="33"/>
      <c r="AH46" s="33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5">
        <f t="shared" si="25"/>
        <v>0.12300200593139445</v>
      </c>
      <c r="AV46" s="345"/>
      <c r="AW46" s="24">
        <f t="shared" si="26"/>
        <v>3193.5675675675675</v>
      </c>
      <c r="AX46" s="355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5"/>
      <c r="BI46" s="67"/>
      <c r="BJ46" s="67"/>
      <c r="BK46" s="67"/>
      <c r="BL46" s="6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5"/>
      <c r="BU46" s="1"/>
      <c r="BV46">
        <f t="shared" si="11"/>
        <v>37</v>
      </c>
    </row>
    <row r="47" spans="2:74" x14ac:dyDescent="0.3">
      <c r="B47" s="395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987160</v>
      </c>
      <c r="I47" s="16"/>
      <c r="J47" s="38">
        <f t="shared" si="1"/>
        <v>2.759482892330305E-2</v>
      </c>
      <c r="K47" s="16"/>
      <c r="L47" s="16"/>
      <c r="M47" s="16"/>
      <c r="N47" s="16">
        <f t="shared" si="22"/>
        <v>25977.894736842107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6"/>
      <c r="V47" s="34">
        <v>1156</v>
      </c>
      <c r="W47" s="33"/>
      <c r="X47" s="33"/>
      <c r="Y47" s="33"/>
      <c r="Z47" s="33">
        <f t="shared" si="19"/>
        <v>55412</v>
      </c>
      <c r="AA47" s="33"/>
      <c r="AB47" s="46">
        <f t="shared" si="23"/>
        <v>5.6132744438591516E-2</v>
      </c>
      <c r="AC47" s="33"/>
      <c r="AD47" s="33">
        <f t="shared" si="24"/>
        <v>1458.2105263157894</v>
      </c>
      <c r="AE47" s="50"/>
      <c r="AF47" s="33">
        <f>SUM(V41:V47)</f>
        <v>14511</v>
      </c>
      <c r="AG47" s="33"/>
      <c r="AH47" s="233">
        <f>+(AF47-AF40)/AF40</f>
        <v>-1.2924290864567036E-2</v>
      </c>
      <c r="AI47" s="50"/>
      <c r="AJ47" s="396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5">
        <f t="shared" si="25"/>
        <v>0.12032598565582074</v>
      </c>
      <c r="AV47" s="345"/>
      <c r="AW47" s="24">
        <f t="shared" si="26"/>
        <v>3125.8157894736842</v>
      </c>
      <c r="AX47" s="355"/>
      <c r="AY47" s="396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5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5"/>
      <c r="BU47" s="1"/>
      <c r="BV47">
        <f t="shared" si="11"/>
        <v>38</v>
      </c>
    </row>
    <row r="48" spans="2:74" x14ac:dyDescent="0.3">
      <c r="B48" s="173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1010356</v>
      </c>
      <c r="I48" s="16"/>
      <c r="J48" s="38">
        <f t="shared" si="1"/>
        <v>2.3497710604157382E-2</v>
      </c>
      <c r="K48" s="16"/>
      <c r="L48" s="16"/>
      <c r="M48" s="16"/>
      <c r="N48" s="16">
        <f t="shared" si="22"/>
        <v>25906.564102564102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56795</v>
      </c>
      <c r="AA48" s="33"/>
      <c r="AB48" s="46">
        <f t="shared" si="23"/>
        <v>5.6212859625716087E-2</v>
      </c>
      <c r="AC48" s="33"/>
      <c r="AD48" s="33">
        <f t="shared" si="24"/>
        <v>1456.2820512820513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5">
        <f t="shared" si="25"/>
        <v>0.13639251907248534</v>
      </c>
      <c r="AV48" s="345"/>
      <c r="AW48" s="24">
        <f t="shared" si="26"/>
        <v>3533.4615384615386</v>
      </c>
      <c r="AX48" s="355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5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5"/>
      <c r="BU48" s="1"/>
      <c r="BV48">
        <f t="shared" si="11"/>
        <v>39</v>
      </c>
    </row>
    <row r="49" spans="2:78" x14ac:dyDescent="0.3">
      <c r="B49" s="173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1035765</v>
      </c>
      <c r="I49" s="16"/>
      <c r="J49" s="38">
        <f t="shared" si="1"/>
        <v>2.5148561497135662E-2</v>
      </c>
      <c r="K49" s="16"/>
      <c r="L49" s="16"/>
      <c r="M49" s="16"/>
      <c r="N49" s="16">
        <f t="shared" si="22"/>
        <v>25894.125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59265</v>
      </c>
      <c r="AA49" s="33"/>
      <c r="AB49" s="46">
        <f t="shared" si="23"/>
        <v>5.7218577573098145E-2</v>
      </c>
      <c r="AC49" s="33"/>
      <c r="AD49" s="33">
        <f t="shared" si="24"/>
        <v>1481.625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5">
        <f t="shared" si="25"/>
        <v>0.13704942723494229</v>
      </c>
      <c r="AV49" s="345"/>
      <c r="AW49" s="24">
        <f t="shared" si="26"/>
        <v>3548.7750000000001</v>
      </c>
      <c r="AX49" s="355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5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5"/>
      <c r="BU49" s="1"/>
      <c r="BV49">
        <f t="shared" si="11"/>
        <v>40</v>
      </c>
    </row>
    <row r="50" spans="2:78" x14ac:dyDescent="0.3">
      <c r="B50" s="173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1064194</v>
      </c>
      <c r="I50" s="16"/>
      <c r="J50" s="38">
        <f t="shared" si="1"/>
        <v>2.7447345681694206E-2</v>
      </c>
      <c r="K50" s="16"/>
      <c r="L50" s="16"/>
      <c r="M50" s="16"/>
      <c r="N50" s="16">
        <f t="shared" si="22"/>
        <v>25955.951219512193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61655</v>
      </c>
      <c r="AA50" s="33"/>
      <c r="AB50" s="46">
        <f t="shared" si="23"/>
        <v>5.7935865077232161E-2</v>
      </c>
      <c r="AC50" s="33"/>
      <c r="AD50" s="33">
        <f t="shared" si="24"/>
        <v>1503.780487804878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5">
        <f t="shared" si="25"/>
        <v>0.13851891666369101</v>
      </c>
      <c r="AV50" s="345"/>
      <c r="AW50" s="24">
        <f t="shared" si="26"/>
        <v>3595.3902439024391</v>
      </c>
      <c r="AX50" s="355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5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5"/>
      <c r="BU50" s="1"/>
      <c r="BV50">
        <f t="shared" si="11"/>
        <v>41</v>
      </c>
    </row>
    <row r="51" spans="2:78" x14ac:dyDescent="0.3">
      <c r="B51" s="173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1095023</v>
      </c>
      <c r="I51" s="16"/>
      <c r="J51" s="38">
        <f t="shared" si="1"/>
        <v>2.8969342056053688E-2</v>
      </c>
      <c r="K51" s="16"/>
      <c r="L51" s="16"/>
      <c r="M51" s="16"/>
      <c r="N51" s="16">
        <f t="shared" si="22"/>
        <v>26071.976190476191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63856</v>
      </c>
      <c r="AA51" s="33"/>
      <c r="AB51" s="46">
        <f t="shared" si="23"/>
        <v>5.8314756858988348E-2</v>
      </c>
      <c r="AC51" s="33"/>
      <c r="AD51" s="33">
        <f t="shared" si="24"/>
        <v>1520.3809523809523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5">
        <f t="shared" si="25"/>
        <v>0.13910575394306787</v>
      </c>
      <c r="AV51" s="345"/>
      <c r="AW51" s="24">
        <f t="shared" si="26"/>
        <v>3626.7619047619046</v>
      </c>
      <c r="AX51" s="355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5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5"/>
      <c r="BU51" s="1"/>
      <c r="BV51">
        <f t="shared" si="11"/>
        <v>42</v>
      </c>
    </row>
    <row r="52" spans="2:78" x14ac:dyDescent="0.3">
      <c r="B52" s="173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1131030</v>
      </c>
      <c r="I52" s="16"/>
      <c r="J52" s="38">
        <f t="shared" ref="J52:J64" si="28">+D52/H51</f>
        <v>3.2882414341981858E-2</v>
      </c>
      <c r="K52" s="16"/>
      <c r="L52" s="16"/>
      <c r="M52" s="16"/>
      <c r="N52" s="16">
        <f t="shared" si="22"/>
        <v>26303.023255813954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65753</v>
      </c>
      <c r="AA52" s="33"/>
      <c r="AB52" s="46">
        <f t="shared" si="23"/>
        <v>5.8135504805354413E-2</v>
      </c>
      <c r="AC52" s="33"/>
      <c r="AD52" s="33">
        <f t="shared" si="24"/>
        <v>1529.1395348837209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5">
        <f t="shared" si="25"/>
        <v>0.14284590152339019</v>
      </c>
      <c r="AV52" s="345"/>
      <c r="AW52" s="24">
        <f t="shared" si="26"/>
        <v>3757.2790697674418</v>
      </c>
      <c r="AX52" s="355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5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5"/>
      <c r="BU52" s="1"/>
      <c r="BV52">
        <f t="shared" si="11"/>
        <v>43</v>
      </c>
    </row>
    <row r="53" spans="2:78" x14ac:dyDescent="0.3">
      <c r="B53" s="173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1160774</v>
      </c>
      <c r="I53" s="16"/>
      <c r="J53" s="38">
        <f t="shared" si="28"/>
        <v>2.6298153010972301E-2</v>
      </c>
      <c r="K53" s="16"/>
      <c r="L53" s="16"/>
      <c r="M53" s="16"/>
      <c r="N53" s="16">
        <f t="shared" si="22"/>
        <v>26381.227272727272</v>
      </c>
      <c r="O53" s="41"/>
      <c r="P53" s="17"/>
      <c r="Q53" s="16"/>
      <c r="R53" s="16"/>
      <c r="S53" s="16"/>
      <c r="T53" s="41"/>
      <c r="U53" s="1"/>
      <c r="V53" s="34">
        <v>1691</v>
      </c>
      <c r="W53" s="33"/>
      <c r="X53" s="33"/>
      <c r="Y53" s="33"/>
      <c r="Z53" s="33">
        <f t="shared" si="29"/>
        <v>67444</v>
      </c>
      <c r="AA53" s="33"/>
      <c r="AB53" s="46">
        <f t="shared" si="23"/>
        <v>5.810261084414365E-2</v>
      </c>
      <c r="AC53" s="33"/>
      <c r="AD53" s="33">
        <f t="shared" si="24"/>
        <v>1532.8181818181818</v>
      </c>
      <c r="AE53" s="50"/>
      <c r="AF53" s="33"/>
      <c r="AG53" s="33"/>
      <c r="AH53" s="33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5">
        <f t="shared" si="25"/>
        <v>0.14931244152608519</v>
      </c>
      <c r="AV53" s="345"/>
      <c r="AW53" s="24">
        <f t="shared" si="26"/>
        <v>3939.0454545454545</v>
      </c>
      <c r="AX53" s="355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5"/>
      <c r="BI53" s="67"/>
      <c r="BJ53" s="67"/>
      <c r="BK53" s="67"/>
      <c r="BL53" s="6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5"/>
      <c r="BU53" s="1"/>
      <c r="BV53">
        <f t="shared" si="11"/>
        <v>44</v>
      </c>
    </row>
    <row r="54" spans="2:78" x14ac:dyDescent="0.3">
      <c r="B54" s="395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1188122</v>
      </c>
      <c r="I54" s="16"/>
      <c r="J54" s="38">
        <f t="shared" si="28"/>
        <v>2.356014176747584E-2</v>
      </c>
      <c r="K54" s="16"/>
      <c r="L54" s="16"/>
      <c r="M54" s="16"/>
      <c r="N54" s="16">
        <f t="shared" si="22"/>
        <v>26402.711111111112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6"/>
      <c r="V54" s="34">
        <v>1153</v>
      </c>
      <c r="W54" s="33"/>
      <c r="X54" s="33"/>
      <c r="Y54" s="33"/>
      <c r="Z54" s="33">
        <f t="shared" si="29"/>
        <v>68597</v>
      </c>
      <c r="AA54" s="33"/>
      <c r="AB54" s="46">
        <f t="shared" si="23"/>
        <v>5.7735653409330019E-2</v>
      </c>
      <c r="AC54" s="33"/>
      <c r="AD54" s="33">
        <f t="shared" si="24"/>
        <v>1524.3777777777777</v>
      </c>
      <c r="AE54" s="50"/>
      <c r="AF54" s="33">
        <f>SUM(V48:V54)</f>
        <v>13185</v>
      </c>
      <c r="AG54" s="33"/>
      <c r="AH54" s="233">
        <f>+(AF54-AF47)/AF47</f>
        <v>-9.1378953897043619E-2</v>
      </c>
      <c r="AI54" s="50"/>
      <c r="AJ54" s="396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5">
        <f t="shared" si="25"/>
        <v>0.15003762239904656</v>
      </c>
      <c r="AV54" s="345"/>
      <c r="AW54" s="24">
        <f t="shared" si="26"/>
        <v>3961.4</v>
      </c>
      <c r="AX54" s="355"/>
      <c r="AY54" s="396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5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5"/>
      <c r="BU54" s="1"/>
      <c r="BV54">
        <f t="shared" si="11"/>
        <v>45</v>
      </c>
    </row>
    <row r="55" spans="2:78" x14ac:dyDescent="0.3">
      <c r="B55" s="173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1212835</v>
      </c>
      <c r="I55" s="16"/>
      <c r="J55" s="38">
        <f t="shared" si="28"/>
        <v>2.0800052519859072E-2</v>
      </c>
      <c r="K55" s="16"/>
      <c r="L55" s="16"/>
      <c r="M55" s="16"/>
      <c r="N55" s="16">
        <f t="shared" si="22"/>
        <v>26365.978260869564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69921</v>
      </c>
      <c r="AA55" s="33"/>
      <c r="AB55" s="46">
        <f t="shared" si="23"/>
        <v>5.7650875840489432E-2</v>
      </c>
      <c r="AC55" s="33"/>
      <c r="AD55" s="33">
        <f t="shared" si="24"/>
        <v>1520.0217391304348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5">
        <f t="shared" si="25"/>
        <v>0.15503098113098648</v>
      </c>
      <c r="AV55" s="345"/>
      <c r="AW55" s="24">
        <f t="shared" si="26"/>
        <v>4087.5434782608695</v>
      </c>
      <c r="AX55" s="355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5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5"/>
      <c r="BU55" s="1"/>
      <c r="BV55">
        <f t="shared" si="11"/>
        <v>46</v>
      </c>
    </row>
    <row r="56" spans="2:78" x14ac:dyDescent="0.3">
      <c r="B56" s="173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1237633</v>
      </c>
      <c r="I56" s="16"/>
      <c r="J56" s="38">
        <f t="shared" si="28"/>
        <v>2.0446309679387549E-2</v>
      </c>
      <c r="K56" s="16"/>
      <c r="L56" s="16"/>
      <c r="M56" s="16"/>
      <c r="N56" s="16">
        <f t="shared" si="22"/>
        <v>26332.617021276597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72271</v>
      </c>
      <c r="AA56" s="33"/>
      <c r="AB56" s="46">
        <f t="shared" si="23"/>
        <v>5.839453214321208E-2</v>
      </c>
      <c r="AC56" s="33"/>
      <c r="AD56" s="33">
        <f t="shared" si="24"/>
        <v>1537.6808510638298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5">
        <f t="shared" si="25"/>
        <v>0.16210459805128014</v>
      </c>
      <c r="AV56" s="345"/>
      <c r="AW56" s="24">
        <f t="shared" si="26"/>
        <v>4268.6382978723404</v>
      </c>
      <c r="AX56" s="355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5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5"/>
      <c r="BU56" s="1"/>
      <c r="BV56">
        <f t="shared" si="11"/>
        <v>47</v>
      </c>
    </row>
    <row r="57" spans="2:78" x14ac:dyDescent="0.3">
      <c r="B57" s="173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1263092</v>
      </c>
      <c r="I57" s="16"/>
      <c r="J57" s="38">
        <f t="shared" si="28"/>
        <v>2.0570718460157414E-2</v>
      </c>
      <c r="K57" s="16"/>
      <c r="L57" s="16"/>
      <c r="M57" s="16"/>
      <c r="N57" s="16">
        <f t="shared" si="22"/>
        <v>26314.416666666668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74799</v>
      </c>
      <c r="AA57" s="33"/>
      <c r="AB57" s="46">
        <f t="shared" si="23"/>
        <v>5.921896425596869E-2</v>
      </c>
      <c r="AC57" s="33"/>
      <c r="AD57" s="33">
        <f t="shared" si="24"/>
        <v>1558.3125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5">
        <f t="shared" si="25"/>
        <v>0.16333568734502316</v>
      </c>
      <c r="AV57" s="345"/>
      <c r="AW57" s="24">
        <f t="shared" si="26"/>
        <v>4298.083333333333</v>
      </c>
      <c r="AX57" s="355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5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5"/>
      <c r="BU57" s="1"/>
      <c r="BV57">
        <f t="shared" si="11"/>
        <v>48</v>
      </c>
    </row>
    <row r="58" spans="2:78" x14ac:dyDescent="0.3">
      <c r="B58" s="173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1292623</v>
      </c>
      <c r="I58" s="16"/>
      <c r="J58" s="38">
        <f t="shared" si="28"/>
        <v>2.3379927986243283E-2</v>
      </c>
      <c r="K58" s="16"/>
      <c r="L58" s="16"/>
      <c r="M58" s="16"/>
      <c r="N58" s="16">
        <f t="shared" si="22"/>
        <v>26380.061224489797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76928</v>
      </c>
      <c r="AA58" s="33"/>
      <c r="AB58" s="46">
        <f t="shared" si="23"/>
        <v>5.9513098560059659E-2</v>
      </c>
      <c r="AC58" s="33"/>
      <c r="AD58" s="33">
        <f t="shared" si="24"/>
        <v>1569.9591836734694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5">
        <f t="shared" si="25"/>
        <v>0.16806911218506865</v>
      </c>
      <c r="AV58" s="345"/>
      <c r="AW58" s="24">
        <f t="shared" si="26"/>
        <v>4433.6734693877552</v>
      </c>
      <c r="AX58" s="355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5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5"/>
      <c r="BU58" s="1"/>
      <c r="BV58">
        <f t="shared" si="11"/>
        <v>49</v>
      </c>
      <c r="BX58" s="1"/>
      <c r="BZ58" s="1"/>
    </row>
    <row r="59" spans="2:78" x14ac:dyDescent="0.3">
      <c r="B59" s="173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1321785</v>
      </c>
      <c r="I59" s="16"/>
      <c r="J59" s="38">
        <f t="shared" si="28"/>
        <v>2.256032888166155E-2</v>
      </c>
      <c r="K59" s="16"/>
      <c r="L59" s="16"/>
      <c r="M59" s="16"/>
      <c r="N59" s="16">
        <f t="shared" si="22"/>
        <v>26435.7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78615</v>
      </c>
      <c r="AA59" s="33"/>
      <c r="AB59" s="46">
        <f t="shared" si="23"/>
        <v>5.9476389881864294E-2</v>
      </c>
      <c r="AC59" s="33"/>
      <c r="AD59" s="33">
        <f t="shared" si="24"/>
        <v>1572.3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5">
        <f t="shared" si="25"/>
        <v>0.16898360928592773</v>
      </c>
      <c r="AV59" s="345"/>
      <c r="AW59" s="24">
        <f t="shared" si="26"/>
        <v>4467.2</v>
      </c>
      <c r="AX59" s="355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5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5"/>
      <c r="BU59" s="1"/>
      <c r="BV59">
        <f t="shared" si="11"/>
        <v>50</v>
      </c>
    </row>
    <row r="60" spans="2:78" x14ac:dyDescent="0.3">
      <c r="B60" s="173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1347309</v>
      </c>
      <c r="I60" s="16"/>
      <c r="J60" s="38">
        <f t="shared" si="28"/>
        <v>1.9310250910700304E-2</v>
      </c>
      <c r="K60" s="16"/>
      <c r="L60" s="16"/>
      <c r="M60" s="16"/>
      <c r="N60" s="16">
        <f t="shared" si="22"/>
        <v>26417.823529411766</v>
      </c>
      <c r="O60" s="41"/>
      <c r="P60" s="17"/>
      <c r="Q60" s="16"/>
      <c r="R60" s="16"/>
      <c r="S60" s="16"/>
      <c r="T60" s="41"/>
      <c r="U60" s="1"/>
      <c r="V60" s="34">
        <v>1422</v>
      </c>
      <c r="W60" s="33"/>
      <c r="X60" s="33"/>
      <c r="Y60" s="33"/>
      <c r="Z60" s="33">
        <f t="shared" si="29"/>
        <v>80037</v>
      </c>
      <c r="AA60" s="33"/>
      <c r="AB60" s="46">
        <f t="shared" si="23"/>
        <v>5.9405080794383468E-2</v>
      </c>
      <c r="AC60" s="33"/>
      <c r="AD60" s="33">
        <f t="shared" si="24"/>
        <v>1569.3529411764705</v>
      </c>
      <c r="AE60" s="50"/>
      <c r="AF60" s="33"/>
      <c r="AG60" s="33"/>
      <c r="AH60" s="33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5">
        <f t="shared" si="25"/>
        <v>0.17670630864931505</v>
      </c>
      <c r="AV60" s="345"/>
      <c r="AW60" s="24">
        <f t="shared" si="26"/>
        <v>4668.1960784313724</v>
      </c>
      <c r="AX60" s="355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5"/>
      <c r="BI60" s="67"/>
      <c r="BJ60" s="67"/>
      <c r="BK60" s="67"/>
      <c r="BL60" s="6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5"/>
      <c r="BU60" s="1"/>
      <c r="BV60">
        <f t="shared" si="11"/>
        <v>51</v>
      </c>
    </row>
    <row r="61" spans="2:78" x14ac:dyDescent="0.3">
      <c r="B61" s="395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1367638</v>
      </c>
      <c r="I61" s="16"/>
      <c r="J61" s="38">
        <f t="shared" si="28"/>
        <v>1.508859511812064E-2</v>
      </c>
      <c r="K61" s="16"/>
      <c r="L61" s="16"/>
      <c r="M61" s="16"/>
      <c r="N61" s="16">
        <f t="shared" si="22"/>
        <v>26300.73076923077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6"/>
      <c r="V61" s="34">
        <v>750</v>
      </c>
      <c r="W61" s="33"/>
      <c r="X61" s="33"/>
      <c r="Y61" s="33"/>
      <c r="Z61" s="33">
        <f t="shared" si="29"/>
        <v>80787</v>
      </c>
      <c r="AA61" s="33"/>
      <c r="AB61" s="46">
        <f t="shared" si="23"/>
        <v>5.9070455778502791E-2</v>
      </c>
      <c r="AC61" s="33"/>
      <c r="AD61" s="33">
        <f t="shared" si="24"/>
        <v>1553.5961538461538</v>
      </c>
      <c r="AE61" s="50"/>
      <c r="AF61" s="33">
        <f>SUM(V55:V61)</f>
        <v>12190</v>
      </c>
      <c r="AG61" s="33"/>
      <c r="AH61" s="233">
        <f>+(AF61-AF54)/AF54</f>
        <v>-7.5464543041334847E-2</v>
      </c>
      <c r="AI61" s="50"/>
      <c r="AJ61" s="396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5">
        <f t="shared" si="25"/>
        <v>0.18742971458821706</v>
      </c>
      <c r="AV61" s="345"/>
      <c r="AW61" s="24">
        <f t="shared" si="26"/>
        <v>4929.5384615384619</v>
      </c>
      <c r="AX61" s="355"/>
      <c r="AY61" s="396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5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5"/>
      <c r="BU61" s="1"/>
      <c r="BV61">
        <f t="shared" si="11"/>
        <v>52</v>
      </c>
    </row>
    <row r="62" spans="2:78" x14ac:dyDescent="0.3">
      <c r="B62" s="173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1385834</v>
      </c>
      <c r="I62" s="16"/>
      <c r="J62" s="38">
        <f t="shared" si="28"/>
        <v>1.3304690276228066E-2</v>
      </c>
      <c r="K62" s="16"/>
      <c r="L62" s="16"/>
      <c r="M62" s="16"/>
      <c r="N62" s="16">
        <f t="shared" si="22"/>
        <v>26147.811320754718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81847</v>
      </c>
      <c r="AA62" s="33"/>
      <c r="AB62" s="46">
        <f t="shared" si="23"/>
        <v>5.9059743086112768E-2</v>
      </c>
      <c r="AC62" s="33"/>
      <c r="AD62" s="33">
        <f t="shared" si="24"/>
        <v>1544.2830188679245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5">
        <f t="shared" si="25"/>
        <v>0.18921818919149047</v>
      </c>
      <c r="AV62" s="345"/>
      <c r="AW62" s="24">
        <f t="shared" si="26"/>
        <v>4947.6415094339627</v>
      </c>
      <c r="AX62" s="355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5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5"/>
      <c r="BU62" s="1"/>
      <c r="BV62">
        <f t="shared" si="11"/>
        <v>53</v>
      </c>
    </row>
    <row r="63" spans="2:78" x14ac:dyDescent="0.3">
      <c r="B63" s="173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1408636</v>
      </c>
      <c r="I63" s="16"/>
      <c r="J63" s="38">
        <f t="shared" si="28"/>
        <v>1.6453630088452152E-2</v>
      </c>
      <c r="K63" s="16"/>
      <c r="L63" s="16"/>
      <c r="M63" s="16"/>
      <c r="N63" s="16">
        <f t="shared" si="22"/>
        <v>26085.85185185185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83718</v>
      </c>
      <c r="AA63" s="33"/>
      <c r="AB63" s="46">
        <f t="shared" si="23"/>
        <v>5.9431961131193582E-2</v>
      </c>
      <c r="AC63" s="33"/>
      <c r="AD63" s="33">
        <f t="shared" si="24"/>
        <v>1550.3333333333333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5">
        <f t="shared" si="25"/>
        <v>0.20036333020027886</v>
      </c>
      <c r="AV63" s="345"/>
      <c r="AW63" s="24">
        <f t="shared" si="26"/>
        <v>5226.6481481481478</v>
      </c>
      <c r="AX63" s="355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5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5"/>
      <c r="BU63" s="1"/>
      <c r="BV63">
        <f t="shared" si="11"/>
        <v>54</v>
      </c>
    </row>
    <row r="64" spans="2:78" x14ac:dyDescent="0.3">
      <c r="B64" s="173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1430348</v>
      </c>
      <c r="I64" s="16"/>
      <c r="J64" s="38">
        <f t="shared" si="28"/>
        <v>1.5413492200966042E-2</v>
      </c>
      <c r="K64" s="16"/>
      <c r="L64" s="16"/>
      <c r="M64" s="16"/>
      <c r="N64" s="16">
        <f t="shared" si="22"/>
        <v>26006.327272727274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85540</v>
      </c>
      <c r="AA64" s="33"/>
      <c r="AB64" s="46">
        <f t="shared" si="23"/>
        <v>5.9803628207960577E-2</v>
      </c>
      <c r="AC64" s="33"/>
      <c r="AD64" s="33">
        <f t="shared" si="24"/>
        <v>1555.2727272727273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5">
        <f t="shared" si="25"/>
        <v>0.21691154879791491</v>
      </c>
      <c r="AV64" s="345"/>
      <c r="AW64" s="24">
        <f t="shared" si="26"/>
        <v>5641.0727272727272</v>
      </c>
      <c r="AX64" s="355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5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5"/>
      <c r="BU64" s="1"/>
      <c r="BV64">
        <f t="shared" si="11"/>
        <v>55</v>
      </c>
    </row>
    <row r="65" spans="2:84" x14ac:dyDescent="0.3">
      <c r="B65" s="173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" si="35">+H64+D65</f>
        <v>1457593</v>
      </c>
      <c r="I65" s="16"/>
      <c r="J65" s="38">
        <f t="shared" ref="J65" si="36">+D65/H64</f>
        <v>1.9047812140821675E-2</v>
      </c>
      <c r="K65" s="16"/>
      <c r="L65" s="16"/>
      <c r="M65" s="16"/>
      <c r="N65" s="16">
        <f t="shared" si="22"/>
        <v>26028.446428571428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" si="37">+Z64+V65</f>
        <v>87293</v>
      </c>
      <c r="AA65" s="33"/>
      <c r="AB65" s="46">
        <f t="shared" si="23"/>
        <v>5.9888459947324113E-2</v>
      </c>
      <c r="AC65" s="33"/>
      <c r="AD65" s="33">
        <f t="shared" si="24"/>
        <v>1558.8035714285713</v>
      </c>
      <c r="AE65" s="50"/>
      <c r="AF65" s="33"/>
      <c r="AG65" s="33"/>
      <c r="AH65" s="33"/>
      <c r="AI65" s="50"/>
      <c r="AJ65" s="1"/>
      <c r="AK65" s="23">
        <f t="shared" ref="AK65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" si="39">+AK65/AO64</f>
        <v>2.4502109527846091E-2</v>
      </c>
      <c r="AR65" s="25"/>
      <c r="AS65" s="25"/>
      <c r="AT65" s="24"/>
      <c r="AU65" s="345">
        <f t="shared" si="25"/>
        <v>0.21807253465130527</v>
      </c>
      <c r="AV65" s="345"/>
      <c r="AW65" s="24">
        <f t="shared" si="26"/>
        <v>5676.0892857142853</v>
      </c>
      <c r="AX65" s="355"/>
      <c r="AY65" s="1"/>
      <c r="AZ65" s="66">
        <f t="shared" ref="AZ65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" si="41">+BD65/AZ65</f>
        <v>7.4533158980363404E-2</v>
      </c>
      <c r="BG65" s="67"/>
      <c r="BH65" s="185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5"/>
      <c r="BU65" s="1"/>
      <c r="BV65">
        <f t="shared" si="11"/>
        <v>56</v>
      </c>
    </row>
    <row r="66" spans="2:84" x14ac:dyDescent="0.3">
      <c r="B66" s="173">
        <f t="shared" si="6"/>
        <v>43966</v>
      </c>
      <c r="C66" s="61"/>
      <c r="D66" s="17">
        <v>26692</v>
      </c>
      <c r="E66" s="16"/>
      <c r="F66" s="16"/>
      <c r="G66" s="16"/>
      <c r="H66" s="16">
        <f t="shared" ref="H66" si="42">+H65+D66</f>
        <v>1484285</v>
      </c>
      <c r="I66" s="16"/>
      <c r="J66" s="38">
        <f t="shared" ref="J66" si="43">+D66/H65</f>
        <v>1.8312382125874643E-2</v>
      </c>
      <c r="K66" s="16"/>
      <c r="L66" s="16"/>
      <c r="M66" s="16"/>
      <c r="N66" s="16">
        <f t="shared" si="22"/>
        <v>26040.087719298244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ref="Z66" si="44">+Z65+V66</f>
        <v>88895</v>
      </c>
      <c r="AA66" s="33"/>
      <c r="AB66" s="46">
        <f t="shared" si="23"/>
        <v>5.9890789167848492E-2</v>
      </c>
      <c r="AC66" s="33"/>
      <c r="AD66" s="33">
        <f t="shared" si="24"/>
        <v>1559.5614035087719</v>
      </c>
      <c r="AE66" s="50"/>
      <c r="AF66" s="33"/>
      <c r="AG66" s="33"/>
      <c r="AH66" s="33"/>
      <c r="AI66" s="50"/>
      <c r="AJ66" s="1"/>
      <c r="AK66" s="23">
        <f t="shared" ref="AK66" si="45">+AO66-AO65</f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ref="AQ66" si="46">+AK66/AO65</f>
        <v>2.6366871053699573E-2</v>
      </c>
      <c r="AR66" s="25"/>
      <c r="AS66" s="25"/>
      <c r="AT66" s="24"/>
      <c r="AU66" s="345">
        <f t="shared" si="25"/>
        <v>0.2197974108745962</v>
      </c>
      <c r="AV66" s="345"/>
      <c r="AW66" s="24">
        <f t="shared" si="26"/>
        <v>5723.5438596491231</v>
      </c>
      <c r="AX66" s="355"/>
      <c r="AY66" s="1"/>
      <c r="AZ66" s="66">
        <f t="shared" ref="AZ66" si="47">+BB66-BB65</f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ref="BF66" si="48">+BD66/AZ66</f>
        <v>5.8617100241126839E-2</v>
      </c>
      <c r="BG66" s="67"/>
      <c r="BH66" s="185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5"/>
      <c r="BU66" s="1"/>
      <c r="BV66">
        <f t="shared" si="11"/>
        <v>57</v>
      </c>
    </row>
    <row r="67" spans="2:84" x14ac:dyDescent="0.3">
      <c r="B67" s="173">
        <f t="shared" si="6"/>
        <v>43967</v>
      </c>
      <c r="C67" s="61"/>
      <c r="D67" s="17">
        <v>24488</v>
      </c>
      <c r="E67" s="16"/>
      <c r="F67" s="16"/>
      <c r="G67" s="16"/>
      <c r="H67" s="16">
        <f t="shared" ref="H67" si="49">+H66+D67</f>
        <v>1508773</v>
      </c>
      <c r="I67" s="16"/>
      <c r="J67" s="38">
        <f t="shared" ref="J67" si="50">+D67/H66</f>
        <v>1.6498179258026591E-2</v>
      </c>
      <c r="K67" s="16"/>
      <c r="L67" s="16"/>
      <c r="M67" s="16"/>
      <c r="N67" s="16">
        <f t="shared" si="22"/>
        <v>26013.327586206895</v>
      </c>
      <c r="O67" s="41"/>
      <c r="P67" s="17"/>
      <c r="Q67" s="16"/>
      <c r="R67" s="16"/>
      <c r="S67" s="16"/>
      <c r="T67" s="41"/>
      <c r="U67" s="1"/>
      <c r="V67" s="34">
        <v>1218</v>
      </c>
      <c r="W67" s="33"/>
      <c r="X67" s="33"/>
      <c r="Y67" s="33"/>
      <c r="Z67" s="33">
        <f t="shared" ref="Z67" si="51">+Z66+V67</f>
        <v>90113</v>
      </c>
      <c r="AA67" s="33"/>
      <c r="AB67" s="46">
        <f t="shared" si="23"/>
        <v>5.9726015775732999E-2</v>
      </c>
      <c r="AC67" s="33"/>
      <c r="AD67" s="33">
        <f t="shared" si="24"/>
        <v>1553.6724137931035</v>
      </c>
      <c r="AE67" s="50"/>
      <c r="AF67" s="33"/>
      <c r="AG67" s="33"/>
      <c r="AH67" s="33"/>
      <c r="AI67" s="50"/>
      <c r="AJ67" s="1"/>
      <c r="AK67" s="23">
        <f t="shared" ref="AK67" si="52">+AO67-AO66</f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ref="AQ67" si="53">+AK67/AO66</f>
        <v>3.981706831125361E-2</v>
      </c>
      <c r="AR67" s="25"/>
      <c r="AS67" s="25"/>
      <c r="AT67" s="24"/>
      <c r="AU67" s="345">
        <f t="shared" si="25"/>
        <v>0.22483965447419857</v>
      </c>
      <c r="AV67" s="345"/>
      <c r="AW67" s="24">
        <f t="shared" si="26"/>
        <v>5848.8275862068967</v>
      </c>
      <c r="AX67" s="355"/>
      <c r="AY67" s="1"/>
      <c r="AZ67" s="66">
        <f t="shared" ref="AZ67" si="54">+BB67-BB66</f>
        <v>434725</v>
      </c>
      <c r="BA67" s="67"/>
      <c r="BB67" s="67">
        <v>11525625</v>
      </c>
      <c r="BC67" s="67"/>
      <c r="BD67" s="67">
        <f t="shared" si="12"/>
        <v>24488</v>
      </c>
      <c r="BE67" s="67"/>
      <c r="BF67" s="157">
        <f t="shared" ref="BF67" si="55">+BD67/AZ67</f>
        <v>5.6329863706941173E-2</v>
      </c>
      <c r="BG67" s="67"/>
      <c r="BH67" s="185"/>
      <c r="BI67" s="67"/>
      <c r="BJ67" s="67"/>
      <c r="BK67" s="67"/>
      <c r="BL67" s="67"/>
      <c r="BM67" s="66">
        <f t="shared" si="21"/>
        <v>198717.6724137931</v>
      </c>
      <c r="BN67" s="67"/>
      <c r="BO67" s="67">
        <f t="shared" si="16"/>
        <v>1256451</v>
      </c>
      <c r="BP67" s="67"/>
      <c r="BQ67" s="74">
        <f t="shared" si="13"/>
        <v>0.10901369773873434</v>
      </c>
      <c r="BR67" s="67"/>
      <c r="BS67" s="86"/>
      <c r="BT67" s="185"/>
      <c r="BU67" s="1"/>
      <c r="BV67">
        <f t="shared" si="11"/>
        <v>58</v>
      </c>
    </row>
    <row r="68" spans="2:84" x14ac:dyDescent="0.3">
      <c r="B68" s="395">
        <f t="shared" si="6"/>
        <v>43968</v>
      </c>
      <c r="C68" s="61"/>
      <c r="D68" s="17">
        <v>19891</v>
      </c>
      <c r="E68" s="16"/>
      <c r="F68" s="16"/>
      <c r="G68" s="16"/>
      <c r="H68" s="16">
        <f t="shared" ref="H68" si="56">+H67+D68</f>
        <v>1528664</v>
      </c>
      <c r="I68" s="16"/>
      <c r="J68" s="38">
        <f t="shared" ref="J68" si="57">+D68/H67</f>
        <v>1.3183560416311798E-2</v>
      </c>
      <c r="K68" s="16"/>
      <c r="L68" s="16"/>
      <c r="M68" s="16"/>
      <c r="N68" s="16">
        <f t="shared" si="22"/>
        <v>25909.5593220339</v>
      </c>
      <c r="O68" s="41"/>
      <c r="P68" s="17">
        <f>SUM(D62:D68)</f>
        <v>161026</v>
      </c>
      <c r="Q68" s="16"/>
      <c r="R68" s="60">
        <f>+(P68-P61)/P61</f>
        <v>-0.10299917556095278</v>
      </c>
      <c r="S68" s="16"/>
      <c r="T68" s="41"/>
      <c r="U68" s="396"/>
      <c r="V68" s="34">
        <v>865</v>
      </c>
      <c r="W68" s="33"/>
      <c r="X68" s="33"/>
      <c r="Y68" s="33"/>
      <c r="Z68" s="33">
        <f t="shared" ref="Z68" si="58">+Z67+V68</f>
        <v>90978</v>
      </c>
      <c r="AA68" s="33"/>
      <c r="AB68" s="46">
        <f t="shared" si="23"/>
        <v>5.9514713501462715E-2</v>
      </c>
      <c r="AC68" s="33"/>
      <c r="AD68" s="33">
        <f t="shared" si="24"/>
        <v>1542</v>
      </c>
      <c r="AE68" s="50"/>
      <c r="AF68" s="33">
        <f>SUM(V62:V68)</f>
        <v>10191</v>
      </c>
      <c r="AG68" s="33"/>
      <c r="AH68" s="233">
        <f>+(AF68-AF61)/AF61</f>
        <v>-0.16398687448728466</v>
      </c>
      <c r="AI68" s="50"/>
      <c r="AJ68" s="396"/>
      <c r="AK68" s="23">
        <f t="shared" ref="AK68" si="59">+AO68-AO67</f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ref="AQ68" si="60">+AK68/AO67</f>
        <v>2.109765588152061E-2</v>
      </c>
      <c r="AR68" s="25"/>
      <c r="AS68" s="25"/>
      <c r="AT68" s="24"/>
      <c r="AU68" s="345">
        <f t="shared" si="25"/>
        <v>0.22659590335089988</v>
      </c>
      <c r="AV68" s="345"/>
      <c r="AW68" s="24">
        <f t="shared" si="26"/>
        <v>5871</v>
      </c>
      <c r="AX68" s="355"/>
      <c r="AY68" s="396"/>
      <c r="AZ68" s="66">
        <f t="shared" ref="AZ68" si="61">+BB68-BB67</f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ref="BF68" si="62">+BD68/AZ68</f>
        <v>5.6838736408966868E-2</v>
      </c>
      <c r="BG68" s="67"/>
      <c r="BH68" s="185"/>
      <c r="BI68" s="67"/>
      <c r="BJ68" s="67">
        <f>SUM(AZ62:AZ68)</f>
        <v>2431055</v>
      </c>
      <c r="BK68" s="67"/>
      <c r="BL68" s="157">
        <f>+P68/BJ68</f>
        <v>6.6237086367852638E-2</v>
      </c>
      <c r="BM68" s="66">
        <f t="shared" si="21"/>
        <v>201281.01694915254</v>
      </c>
      <c r="BN68" s="67"/>
      <c r="BO68" s="67">
        <f t="shared" si="16"/>
        <v>1276342</v>
      </c>
      <c r="BP68" s="67"/>
      <c r="BQ68" s="74">
        <f t="shared" si="13"/>
        <v>0.1074761822159423</v>
      </c>
      <c r="BR68" s="67"/>
      <c r="BS68" s="86"/>
      <c r="BT68" s="185"/>
      <c r="BU68" s="1"/>
      <c r="BV68">
        <f t="shared" si="11"/>
        <v>59</v>
      </c>
    </row>
    <row r="69" spans="2:84" x14ac:dyDescent="0.3">
      <c r="B69" s="173">
        <f t="shared" si="6"/>
        <v>43969</v>
      </c>
      <c r="C69" s="61"/>
      <c r="D69" s="17">
        <v>22630</v>
      </c>
      <c r="E69" s="16"/>
      <c r="F69" s="16"/>
      <c r="G69" s="16"/>
      <c r="H69" s="16">
        <f t="shared" ref="H69" si="63">+H68+D69</f>
        <v>1551294</v>
      </c>
      <c r="I69" s="16"/>
      <c r="J69" s="38">
        <f t="shared" ref="J69" si="64">+D69/H68</f>
        <v>1.4803776369431084E-2</v>
      </c>
      <c r="K69" s="16"/>
      <c r="L69" s="16"/>
      <c r="M69" s="16"/>
      <c r="N69" s="16">
        <f t="shared" ref="N69" si="65">+H69/BV69</f>
        <v>25854.9</v>
      </c>
      <c r="O69" s="41"/>
      <c r="P69" s="17">
        <f>SUM(D63:D69)</f>
        <v>165460</v>
      </c>
      <c r="Q69" s="16"/>
      <c r="R69" s="60" t="e">
        <f>+(P69-P62)/P62</f>
        <v>#DIV/0!</v>
      </c>
      <c r="S69" s="16"/>
      <c r="T69" s="41"/>
      <c r="U69" s="10"/>
      <c r="V69" s="34">
        <v>1003</v>
      </c>
      <c r="W69" s="33"/>
      <c r="X69" s="33"/>
      <c r="Y69" s="33"/>
      <c r="Z69" s="33">
        <f t="shared" ref="Z69" si="66">+Z68+V69</f>
        <v>91981</v>
      </c>
      <c r="AA69" s="33"/>
      <c r="AB69" s="46">
        <f t="shared" ref="AB69" si="67">+Z69/H69</f>
        <v>5.929308048635526E-2</v>
      </c>
      <c r="AC69" s="33"/>
      <c r="AD69" s="33">
        <f t="shared" ref="AD69" si="68">+Z69/BV69</f>
        <v>1533.0166666666667</v>
      </c>
      <c r="AE69" s="50"/>
      <c r="AF69" s="33">
        <f>SUM(V63:V69)</f>
        <v>10134</v>
      </c>
      <c r="AG69" s="33"/>
      <c r="AH69" s="233" t="e">
        <f>+(AF69-AF62)/AF62</f>
        <v>#DIV/0!</v>
      </c>
      <c r="AI69" s="50"/>
      <c r="AJ69" s="10"/>
      <c r="AK69" s="23">
        <f t="shared" ref="AK69" si="69">+AO69-AO68</f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ref="AQ69" si="70">+AK69/AO68</f>
        <v>2.8851955460479403E-2</v>
      </c>
      <c r="AR69" s="25"/>
      <c r="AS69" s="25"/>
      <c r="AT69" s="24"/>
      <c r="AU69" s="345">
        <f t="shared" ref="AU69" si="71">+AO69/H69</f>
        <v>0.22973272635619038</v>
      </c>
      <c r="AV69" s="345"/>
      <c r="AW69" s="24">
        <f t="shared" ref="AW69" si="72">+AO69/BV69</f>
        <v>5939.7166666666662</v>
      </c>
      <c r="AX69" s="355"/>
      <c r="AY69" s="10"/>
      <c r="AZ69" s="66">
        <f t="shared" ref="AZ69" si="73">+BB69-BB68</f>
        <v>425164</v>
      </c>
      <c r="BA69" s="67"/>
      <c r="BB69" s="67">
        <v>12300744</v>
      </c>
      <c r="BC69" s="67"/>
      <c r="BD69" s="67">
        <f t="shared" ref="BD69" si="74">+D69</f>
        <v>22630</v>
      </c>
      <c r="BE69" s="67"/>
      <c r="BF69" s="157">
        <f t="shared" ref="BF69" si="75">+BD69/AZ69</f>
        <v>5.3226519648888429E-2</v>
      </c>
      <c r="BG69" s="67"/>
      <c r="BH69" s="185"/>
      <c r="BI69" s="67"/>
      <c r="BJ69" s="67">
        <f>SUM(AZ63:AZ69)</f>
        <v>2680889</v>
      </c>
      <c r="BK69" s="67"/>
      <c r="BL69" s="157">
        <f>+P69/BJ69</f>
        <v>6.1718332985811794E-2</v>
      </c>
      <c r="BM69" s="66">
        <f t="shared" ref="BM69" si="76">+BB69/BV69</f>
        <v>205012.4</v>
      </c>
      <c r="BN69" s="67"/>
      <c r="BO69" s="67">
        <f t="shared" ref="BO69" si="77">+BO68+BD69</f>
        <v>1298972</v>
      </c>
      <c r="BP69" s="67"/>
      <c r="BQ69" s="74">
        <f t="shared" ref="BQ69" si="78">+BO69/BB69</f>
        <v>0.1056010920965431</v>
      </c>
      <c r="BR69" s="67"/>
      <c r="BS69" s="86"/>
      <c r="BT69" s="185"/>
      <c r="BU69" s="1"/>
      <c r="BV69">
        <f t="shared" si="11"/>
        <v>60</v>
      </c>
    </row>
    <row r="70" spans="2:84" x14ac:dyDescent="0.3">
      <c r="B70" s="173">
        <f t="shared" si="6"/>
        <v>43970</v>
      </c>
      <c r="C70" s="61"/>
      <c r="D70" s="17"/>
      <c r="E70" s="16"/>
      <c r="F70" s="16"/>
      <c r="G70" s="16"/>
      <c r="H70" s="16"/>
      <c r="I70" s="16"/>
      <c r="J70" s="38"/>
      <c r="K70" s="16"/>
      <c r="L70" s="16"/>
      <c r="M70" s="16"/>
      <c r="N70" s="16"/>
      <c r="O70" s="41"/>
      <c r="P70" s="17"/>
      <c r="Q70" s="16"/>
      <c r="R70" s="16"/>
      <c r="S70" s="16"/>
      <c r="T70" s="41"/>
      <c r="U70" s="1"/>
      <c r="V70" s="34"/>
      <c r="W70" s="33"/>
      <c r="X70" s="33"/>
      <c r="Y70" s="33"/>
      <c r="Z70" s="33"/>
      <c r="AA70" s="33"/>
      <c r="AB70" s="46"/>
      <c r="AC70" s="33"/>
      <c r="AD70" s="33"/>
      <c r="AE70" s="50"/>
      <c r="AF70" s="33"/>
      <c r="AG70" s="33"/>
      <c r="AH70" s="33"/>
      <c r="AI70" s="50"/>
      <c r="AJ70" s="1"/>
      <c r="AK70" s="23"/>
      <c r="AL70" s="24"/>
      <c r="AM70" s="24"/>
      <c r="AN70" s="24"/>
      <c r="AO70" s="24"/>
      <c r="AP70" s="24"/>
      <c r="AQ70" s="25"/>
      <c r="AR70" s="25"/>
      <c r="AS70" s="25"/>
      <c r="AT70" s="24"/>
      <c r="AU70" s="345"/>
      <c r="AV70" s="345"/>
      <c r="AW70" s="24"/>
      <c r="AX70" s="355"/>
      <c r="AY70" s="1"/>
      <c r="AZ70" s="459"/>
      <c r="BA70" s="67"/>
      <c r="BB70" s="67"/>
      <c r="BC70" s="67"/>
      <c r="BD70" s="67">
        <f>+D70</f>
        <v>0</v>
      </c>
      <c r="BE70" s="67"/>
      <c r="BF70" s="157"/>
      <c r="BG70" s="67"/>
      <c r="BH70" s="185"/>
      <c r="BI70" s="67"/>
      <c r="BJ70" s="67">
        <f>+BJ68-BJ40</f>
        <v>1401764</v>
      </c>
      <c r="BK70" s="67"/>
      <c r="BL70" s="67"/>
      <c r="BM70" s="66"/>
      <c r="BN70" s="67"/>
      <c r="BO70" s="67"/>
      <c r="BP70" s="67"/>
      <c r="BQ70" s="74"/>
      <c r="BR70" s="67"/>
      <c r="BS70" s="86"/>
      <c r="BT70" s="185"/>
      <c r="BU70" s="1"/>
      <c r="BV70">
        <f t="shared" si="11"/>
        <v>61</v>
      </c>
    </row>
    <row r="71" spans="2:84" x14ac:dyDescent="0.3">
      <c r="B71" s="173">
        <f t="shared" si="6"/>
        <v>43971</v>
      </c>
      <c r="C71" s="61"/>
      <c r="D71" s="17"/>
      <c r="E71" s="16"/>
      <c r="F71" s="16"/>
      <c r="G71" s="16"/>
      <c r="H71" s="16"/>
      <c r="I71" s="16"/>
      <c r="J71" s="38"/>
      <c r="K71" s="16"/>
      <c r="L71" s="16"/>
      <c r="M71" s="16"/>
      <c r="N71" s="16"/>
      <c r="O71" s="41"/>
      <c r="P71" s="17"/>
      <c r="Q71" s="16"/>
      <c r="R71" s="16"/>
      <c r="S71" s="16"/>
      <c r="T71" s="41"/>
      <c r="U71" s="1"/>
      <c r="V71" s="34"/>
      <c r="W71" s="33"/>
      <c r="X71" s="33"/>
      <c r="Y71" s="33"/>
      <c r="Z71" s="33"/>
      <c r="AA71" s="33"/>
      <c r="AB71" s="46"/>
      <c r="AC71" s="33"/>
      <c r="AD71" s="33"/>
      <c r="AE71" s="50"/>
      <c r="AF71" s="33"/>
      <c r="AG71" s="33"/>
      <c r="AH71" s="33"/>
      <c r="AI71" s="50"/>
      <c r="AJ71" s="1"/>
      <c r="AK71" s="23"/>
      <c r="AL71" s="24"/>
      <c r="AM71" s="24"/>
      <c r="AN71" s="24"/>
      <c r="AO71" s="24"/>
      <c r="AP71" s="24"/>
      <c r="AQ71" s="25"/>
      <c r="AR71" s="25"/>
      <c r="AS71" s="25"/>
      <c r="AT71" s="24"/>
      <c r="AU71" s="345"/>
      <c r="AV71" s="345"/>
      <c r="AW71" s="25"/>
      <c r="AX71" s="353"/>
      <c r="AY71" s="1"/>
      <c r="AZ71" s="66"/>
      <c r="BA71" s="67"/>
      <c r="BB71" s="67"/>
      <c r="BC71" s="67"/>
      <c r="BD71" s="67"/>
      <c r="BE71" s="67"/>
      <c r="BF71" s="157"/>
      <c r="BG71" s="67"/>
      <c r="BH71" s="185"/>
      <c r="BI71" s="67"/>
      <c r="BJ71" s="67"/>
      <c r="BK71" s="67"/>
      <c r="BL71" s="67"/>
      <c r="BM71" s="66"/>
      <c r="BN71" s="67"/>
      <c r="BO71" s="67"/>
      <c r="BP71" s="67"/>
      <c r="BQ71" s="74"/>
      <c r="BR71" s="67"/>
      <c r="BS71" s="86"/>
      <c r="BT71" s="185"/>
      <c r="BU71" s="1"/>
      <c r="BV71">
        <f t="shared" si="11"/>
        <v>62</v>
      </c>
    </row>
    <row r="72" spans="2:84" x14ac:dyDescent="0.3">
      <c r="B72" s="173">
        <f t="shared" si="6"/>
        <v>43972</v>
      </c>
      <c r="D72" s="18"/>
      <c r="E72" s="19"/>
      <c r="F72" s="19"/>
      <c r="G72" s="19"/>
      <c r="H72" s="19"/>
      <c r="I72" s="19"/>
      <c r="J72" s="39"/>
      <c r="K72" s="19"/>
      <c r="L72" s="19"/>
      <c r="M72" s="19"/>
      <c r="N72" s="19"/>
      <c r="O72" s="43"/>
      <c r="P72" s="18"/>
      <c r="Q72" s="19"/>
      <c r="R72" s="19"/>
      <c r="S72" s="19"/>
      <c r="T72" s="43"/>
      <c r="U72" s="1"/>
      <c r="V72" s="35"/>
      <c r="W72" s="36"/>
      <c r="X72" s="36"/>
      <c r="Y72" s="36"/>
      <c r="Z72" s="36"/>
      <c r="AA72" s="36"/>
      <c r="AB72" s="47"/>
      <c r="AC72" s="36"/>
      <c r="AD72" s="36"/>
      <c r="AE72" s="51"/>
      <c r="AF72" s="36"/>
      <c r="AG72" s="36"/>
      <c r="AH72" s="36"/>
      <c r="AI72" s="51"/>
      <c r="AJ72" s="1"/>
      <c r="AK72" s="26"/>
      <c r="AL72" s="27"/>
      <c r="AM72" s="27"/>
      <c r="AN72" s="27"/>
      <c r="AO72" s="27"/>
      <c r="AP72" s="27"/>
      <c r="AQ72" s="27"/>
      <c r="AR72" s="27"/>
      <c r="AS72" s="27"/>
      <c r="AT72" s="27"/>
      <c r="AU72" s="347"/>
      <c r="AV72" s="347"/>
      <c r="AW72" s="27"/>
      <c r="AX72" s="354"/>
      <c r="AY72" s="1"/>
      <c r="AZ72" s="68"/>
      <c r="BA72" s="69"/>
      <c r="BB72" s="69"/>
      <c r="BC72" s="69"/>
      <c r="BD72" s="69"/>
      <c r="BE72" s="69"/>
      <c r="BF72" s="69"/>
      <c r="BG72" s="69"/>
      <c r="BH72" s="186"/>
      <c r="BI72" s="69"/>
      <c r="BJ72" s="69"/>
      <c r="BK72" s="69"/>
      <c r="BL72" s="69"/>
      <c r="BM72" s="68"/>
      <c r="BN72" s="69"/>
      <c r="BO72" s="69"/>
      <c r="BP72" s="69"/>
      <c r="BQ72" s="71"/>
      <c r="BR72" s="69"/>
      <c r="BS72" s="69"/>
      <c r="BT72" s="186"/>
      <c r="BU72" s="1"/>
      <c r="BV72">
        <f t="shared" si="11"/>
        <v>63</v>
      </c>
    </row>
    <row r="73" spans="2:84" x14ac:dyDescent="0.3">
      <c r="B73" s="56"/>
      <c r="D73" s="1"/>
      <c r="E73" s="1"/>
      <c r="F73" s="1"/>
      <c r="G73" s="1"/>
      <c r="H73" s="59"/>
      <c r="I73" s="1"/>
      <c r="J73" s="59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59"/>
      <c r="W73" s="1"/>
      <c r="X73" s="1"/>
      <c r="Y73" s="1"/>
      <c r="Z73" s="1"/>
      <c r="AA73" s="1"/>
      <c r="AB73" s="59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59"/>
      <c r="BC73" s="1"/>
      <c r="BD73" s="59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2:84" x14ac:dyDescent="0.3">
      <c r="B74" s="181" t="s">
        <v>84</v>
      </c>
      <c r="D74" s="56">
        <f>+D69</f>
        <v>22630</v>
      </c>
      <c r="E74" s="56"/>
      <c r="F74" s="56"/>
      <c r="G74" s="56"/>
      <c r="H74" s="56">
        <f t="shared" ref="H74:BO74" si="79">+H69</f>
        <v>1551294</v>
      </c>
      <c r="I74" s="56">
        <f t="shared" si="79"/>
        <v>0</v>
      </c>
      <c r="J74" s="56">
        <f t="shared" si="79"/>
        <v>1.4803776369431084E-2</v>
      </c>
      <c r="K74" s="56">
        <f t="shared" si="79"/>
        <v>0</v>
      </c>
      <c r="L74" s="56">
        <f t="shared" si="79"/>
        <v>0</v>
      </c>
      <c r="M74" s="56">
        <f t="shared" si="79"/>
        <v>0</v>
      </c>
      <c r="N74" s="56">
        <f t="shared" si="79"/>
        <v>25854.9</v>
      </c>
      <c r="O74" s="56">
        <f t="shared" si="79"/>
        <v>0</v>
      </c>
      <c r="P74" s="56">
        <f t="shared" si="79"/>
        <v>165460</v>
      </c>
      <c r="Q74" s="56">
        <f t="shared" si="79"/>
        <v>0</v>
      </c>
      <c r="R74" s="56" t="e">
        <f t="shared" si="79"/>
        <v>#DIV/0!</v>
      </c>
      <c r="S74" s="56">
        <f t="shared" si="79"/>
        <v>0</v>
      </c>
      <c r="T74" s="56">
        <f t="shared" si="79"/>
        <v>0</v>
      </c>
      <c r="U74" s="56"/>
      <c r="V74" s="56">
        <f t="shared" si="79"/>
        <v>1003</v>
      </c>
      <c r="W74" s="56">
        <f t="shared" si="79"/>
        <v>0</v>
      </c>
      <c r="X74" s="56">
        <f t="shared" si="79"/>
        <v>0</v>
      </c>
      <c r="Y74" s="56">
        <f t="shared" si="79"/>
        <v>0</v>
      </c>
      <c r="Z74" s="56">
        <f t="shared" si="79"/>
        <v>91981</v>
      </c>
      <c r="AA74" s="56">
        <f t="shared" si="79"/>
        <v>0</v>
      </c>
      <c r="AB74" s="56">
        <f t="shared" si="79"/>
        <v>5.929308048635526E-2</v>
      </c>
      <c r="AC74" s="56">
        <f t="shared" si="79"/>
        <v>0</v>
      </c>
      <c r="AD74" s="56">
        <f t="shared" si="79"/>
        <v>1533.0166666666667</v>
      </c>
      <c r="AE74" s="56">
        <f t="shared" si="79"/>
        <v>0</v>
      </c>
      <c r="AF74" s="56">
        <f t="shared" si="79"/>
        <v>10134</v>
      </c>
      <c r="AG74" s="56">
        <f t="shared" si="79"/>
        <v>0</v>
      </c>
      <c r="AH74" s="56" t="e">
        <f t="shared" si="79"/>
        <v>#DIV/0!</v>
      </c>
      <c r="AI74" s="56">
        <f t="shared" si="79"/>
        <v>0</v>
      </c>
      <c r="AJ74" s="56"/>
      <c r="AK74" s="56">
        <f t="shared" si="79"/>
        <v>9994</v>
      </c>
      <c r="AL74" s="56">
        <f t="shared" si="79"/>
        <v>0</v>
      </c>
      <c r="AM74" s="56">
        <f t="shared" si="79"/>
        <v>0</v>
      </c>
      <c r="AN74" s="56">
        <f t="shared" si="79"/>
        <v>178263</v>
      </c>
      <c r="AO74" s="56">
        <f t="shared" si="79"/>
        <v>356383</v>
      </c>
      <c r="AP74" s="56">
        <f t="shared" si="79"/>
        <v>0</v>
      </c>
      <c r="AQ74" s="56">
        <f t="shared" si="79"/>
        <v>2.8851955460479403E-2</v>
      </c>
      <c r="AR74" s="56">
        <f t="shared" si="79"/>
        <v>0</v>
      </c>
      <c r="AS74" s="56">
        <f t="shared" si="79"/>
        <v>0</v>
      </c>
      <c r="AT74" s="56">
        <f t="shared" si="79"/>
        <v>0</v>
      </c>
      <c r="AU74" s="56">
        <f t="shared" si="79"/>
        <v>0.22973272635619038</v>
      </c>
      <c r="AV74" s="56">
        <f t="shared" si="79"/>
        <v>0</v>
      </c>
      <c r="AW74" s="56">
        <f t="shared" si="79"/>
        <v>5939.7166666666662</v>
      </c>
      <c r="AX74" s="56">
        <f t="shared" si="79"/>
        <v>0</v>
      </c>
      <c r="AY74" s="56"/>
      <c r="AZ74" s="56">
        <f t="shared" si="79"/>
        <v>425164</v>
      </c>
      <c r="BA74" s="56">
        <f t="shared" si="79"/>
        <v>0</v>
      </c>
      <c r="BB74" s="56">
        <f t="shared" si="79"/>
        <v>12300744</v>
      </c>
      <c r="BC74" s="56">
        <f t="shared" si="79"/>
        <v>0</v>
      </c>
      <c r="BD74" s="56">
        <f t="shared" si="79"/>
        <v>22630</v>
      </c>
      <c r="BE74" s="56">
        <f t="shared" si="79"/>
        <v>0</v>
      </c>
      <c r="BF74" s="56">
        <f t="shared" si="79"/>
        <v>5.3226519648888429E-2</v>
      </c>
      <c r="BG74" s="56">
        <f t="shared" si="79"/>
        <v>0</v>
      </c>
      <c r="BH74" s="56"/>
      <c r="BI74" s="56">
        <f t="shared" si="79"/>
        <v>0</v>
      </c>
      <c r="BJ74" s="56">
        <f t="shared" si="79"/>
        <v>2680889</v>
      </c>
      <c r="BK74" s="56">
        <f t="shared" si="79"/>
        <v>0</v>
      </c>
      <c r="BL74" s="56">
        <f t="shared" si="79"/>
        <v>6.1718332985811794E-2</v>
      </c>
      <c r="BM74" s="56">
        <f t="shared" si="79"/>
        <v>205012.4</v>
      </c>
      <c r="BN74" s="56">
        <f t="shared" si="79"/>
        <v>0</v>
      </c>
      <c r="BO74" s="56">
        <f t="shared" si="79"/>
        <v>1298972</v>
      </c>
      <c r="BP74" s="10"/>
      <c r="BQ74" s="62"/>
      <c r="BR74" s="10"/>
      <c r="BS74" s="10"/>
      <c r="BT74" s="10"/>
      <c r="BU74" s="10"/>
      <c r="BV74" s="161"/>
      <c r="BW74" s="10"/>
      <c r="BX74" s="62"/>
      <c r="BY74" s="10"/>
      <c r="BZ74" s="161"/>
      <c r="CA74" s="61"/>
      <c r="CB74" s="61"/>
      <c r="CC74" s="61"/>
      <c r="CD74" s="61"/>
      <c r="CE74" s="61"/>
      <c r="CF74" s="158"/>
    </row>
    <row r="75" spans="2:84" x14ac:dyDescent="0.3">
      <c r="B75" t="s">
        <v>121</v>
      </c>
      <c r="D75" s="56">
        <f>+D68-D69</f>
        <v>-2739</v>
      </c>
      <c r="H75" s="56">
        <f t="shared" ref="H75:BO75" si="80">+H68-H69</f>
        <v>-22630</v>
      </c>
      <c r="I75" s="56">
        <f t="shared" si="80"/>
        <v>0</v>
      </c>
      <c r="J75" s="56">
        <f t="shared" si="80"/>
        <v>-1.6202159531192861E-3</v>
      </c>
      <c r="K75" s="56">
        <f t="shared" si="80"/>
        <v>0</v>
      </c>
      <c r="L75" s="56">
        <f t="shared" si="80"/>
        <v>0</v>
      </c>
      <c r="M75" s="56">
        <f t="shared" si="80"/>
        <v>0</v>
      </c>
      <c r="N75" s="56">
        <f t="shared" si="80"/>
        <v>54.659322033898206</v>
      </c>
      <c r="O75" s="56">
        <f t="shared" si="80"/>
        <v>0</v>
      </c>
      <c r="P75" s="56">
        <f t="shared" si="80"/>
        <v>-4434</v>
      </c>
      <c r="Q75" s="56">
        <f t="shared" si="80"/>
        <v>0</v>
      </c>
      <c r="R75" s="56" t="e">
        <f t="shared" si="80"/>
        <v>#DIV/0!</v>
      </c>
      <c r="S75" s="56">
        <f t="shared" si="80"/>
        <v>0</v>
      </c>
      <c r="T75" s="56">
        <f t="shared" si="80"/>
        <v>0</v>
      </c>
      <c r="U75" s="56"/>
      <c r="V75" s="56">
        <f t="shared" si="80"/>
        <v>-138</v>
      </c>
      <c r="W75" s="56">
        <f t="shared" si="80"/>
        <v>0</v>
      </c>
      <c r="X75" s="56">
        <f t="shared" si="80"/>
        <v>0</v>
      </c>
      <c r="Y75" s="56">
        <f t="shared" si="80"/>
        <v>0</v>
      </c>
      <c r="Z75" s="56">
        <f t="shared" si="80"/>
        <v>-1003</v>
      </c>
      <c r="AA75" s="56">
        <f t="shared" si="80"/>
        <v>0</v>
      </c>
      <c r="AB75" s="56">
        <f t="shared" si="80"/>
        <v>2.2163301510745581E-4</v>
      </c>
      <c r="AC75" s="56">
        <f t="shared" si="80"/>
        <v>0</v>
      </c>
      <c r="AD75" s="56">
        <f t="shared" si="80"/>
        <v>8.9833333333333485</v>
      </c>
      <c r="AE75" s="56">
        <f t="shared" si="80"/>
        <v>0</v>
      </c>
      <c r="AF75" s="56">
        <f t="shared" si="80"/>
        <v>57</v>
      </c>
      <c r="AG75" s="56">
        <f t="shared" si="80"/>
        <v>0</v>
      </c>
      <c r="AH75" s="56" t="e">
        <f t="shared" si="80"/>
        <v>#DIV/0!</v>
      </c>
      <c r="AI75" s="56">
        <f t="shared" si="80"/>
        <v>0</v>
      </c>
      <c r="AJ75" s="56"/>
      <c r="AK75" s="56">
        <f t="shared" si="80"/>
        <v>-2837</v>
      </c>
      <c r="AL75" s="56">
        <f t="shared" si="80"/>
        <v>0</v>
      </c>
      <c r="AM75" s="56">
        <f t="shared" si="80"/>
        <v>0</v>
      </c>
      <c r="AN75" s="56">
        <f t="shared" si="80"/>
        <v>0</v>
      </c>
      <c r="AO75" s="56">
        <f t="shared" si="80"/>
        <v>-9994</v>
      </c>
      <c r="AP75" s="56">
        <f t="shared" si="80"/>
        <v>0</v>
      </c>
      <c r="AQ75" s="56">
        <f t="shared" si="80"/>
        <v>-7.7542995789587933E-3</v>
      </c>
      <c r="AR75" s="56">
        <f t="shared" si="80"/>
        <v>0</v>
      </c>
      <c r="AS75" s="56">
        <f t="shared" si="80"/>
        <v>0</v>
      </c>
      <c r="AT75" s="56">
        <f t="shared" si="80"/>
        <v>0</v>
      </c>
      <c r="AU75" s="56">
        <f t="shared" si="80"/>
        <v>-3.1368230052905011E-3</v>
      </c>
      <c r="AV75" s="56">
        <f t="shared" si="80"/>
        <v>0</v>
      </c>
      <c r="AW75" s="56">
        <f t="shared" si="80"/>
        <v>-68.716666666666242</v>
      </c>
      <c r="AX75" s="56">
        <f t="shared" si="80"/>
        <v>0</v>
      </c>
      <c r="AY75" s="56"/>
      <c r="AZ75" s="56">
        <f t="shared" si="80"/>
        <v>-75209</v>
      </c>
      <c r="BA75" s="56">
        <f t="shared" si="80"/>
        <v>0</v>
      </c>
      <c r="BB75" s="56">
        <f t="shared" si="80"/>
        <v>-425164</v>
      </c>
      <c r="BC75" s="56">
        <f t="shared" si="80"/>
        <v>0</v>
      </c>
      <c r="BD75" s="56">
        <f t="shared" si="80"/>
        <v>-2739</v>
      </c>
      <c r="BE75" s="56">
        <f t="shared" si="80"/>
        <v>0</v>
      </c>
      <c r="BF75" s="56">
        <f t="shared" si="80"/>
        <v>3.6122167600784391E-3</v>
      </c>
      <c r="BG75" s="56">
        <f t="shared" si="80"/>
        <v>0</v>
      </c>
      <c r="BH75" s="56"/>
      <c r="BI75" s="56">
        <f t="shared" si="80"/>
        <v>0</v>
      </c>
      <c r="BJ75" s="56">
        <f t="shared" si="80"/>
        <v>-249834</v>
      </c>
      <c r="BK75" s="56">
        <f t="shared" si="80"/>
        <v>0</v>
      </c>
      <c r="BL75" s="56">
        <f t="shared" si="80"/>
        <v>4.5187533820408438E-3</v>
      </c>
      <c r="BM75" s="56">
        <f t="shared" si="80"/>
        <v>-3731.3830508474493</v>
      </c>
      <c r="BN75" s="56">
        <f t="shared" si="80"/>
        <v>0</v>
      </c>
      <c r="BO75" s="56">
        <f t="shared" si="80"/>
        <v>-22630</v>
      </c>
      <c r="BP75" s="10"/>
      <c r="BQ75" s="10"/>
      <c r="BR75" s="10"/>
      <c r="BS75" s="10"/>
      <c r="BT75" s="10"/>
      <c r="BU75" s="10"/>
      <c r="BV75" s="62"/>
      <c r="BW75" s="10"/>
      <c r="BX75" s="10"/>
      <c r="BY75" s="10"/>
      <c r="BZ75" s="62"/>
      <c r="CA75" s="61"/>
      <c r="CB75" s="61"/>
      <c r="CC75" s="61"/>
      <c r="CD75" s="61"/>
      <c r="CE75" s="61"/>
      <c r="CF75" s="117"/>
    </row>
    <row r="76" spans="2:84" x14ac:dyDescent="0.3">
      <c r="Z76" s="56"/>
      <c r="AB76" s="59"/>
      <c r="AZ76" s="59"/>
      <c r="BF76" s="59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61"/>
      <c r="CB76" s="117"/>
      <c r="CC76" s="117"/>
      <c r="CD76" s="117"/>
      <c r="CE76" s="117"/>
    </row>
    <row r="77" spans="2:84" x14ac:dyDescent="0.3">
      <c r="D77" s="56"/>
      <c r="H77" s="1"/>
      <c r="N77" s="59"/>
      <c r="V77" s="56"/>
      <c r="Z77" s="1"/>
      <c r="AZ77" s="59"/>
      <c r="BB77" s="56"/>
      <c r="BD77" s="59"/>
      <c r="BI77" s="61"/>
      <c r="BJ77" s="61"/>
      <c r="BK77" s="61"/>
      <c r="BL77" s="61"/>
      <c r="BM77" s="61"/>
      <c r="BN77" s="61"/>
      <c r="BO77" s="61"/>
      <c r="BP77" s="61"/>
      <c r="BQ77" s="61"/>
      <c r="BR77" s="10"/>
      <c r="BS77" s="10"/>
    </row>
    <row r="78" spans="2:84" x14ac:dyDescent="0.3"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90"/>
      <c r="BR78" s="1"/>
      <c r="BS78" s="1"/>
    </row>
    <row r="79" spans="2:84" x14ac:dyDescent="0.3">
      <c r="D79" s="1"/>
      <c r="E79" s="123" t="s">
        <v>28</v>
      </c>
      <c r="F79" s="124"/>
      <c r="G79" s="124" t="s">
        <v>68</v>
      </c>
      <c r="H79" s="116"/>
      <c r="I79" s="116"/>
      <c r="J79" s="116"/>
      <c r="K79" s="61"/>
      <c r="L79" s="10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90"/>
      <c r="BR79" s="1"/>
      <c r="BS79" s="1"/>
    </row>
    <row r="80" spans="2:84" x14ac:dyDescent="0.3">
      <c r="D80" s="1"/>
      <c r="E80" s="123" t="s">
        <v>40</v>
      </c>
      <c r="F80" s="124"/>
      <c r="G80" s="124" t="s">
        <v>42</v>
      </c>
      <c r="H80" s="10"/>
      <c r="I80" s="10"/>
      <c r="J80" s="10"/>
      <c r="K80" s="61"/>
      <c r="L80" s="10"/>
      <c r="AC80" s="1"/>
      <c r="AD80" s="1"/>
      <c r="AE80" s="1"/>
      <c r="AF80" s="1"/>
      <c r="AG80" s="1"/>
      <c r="AH80" s="1"/>
      <c r="AI80" s="1"/>
      <c r="AJ80" s="1"/>
      <c r="AK80" s="1" t="s">
        <v>17</v>
      </c>
      <c r="AL80" s="1"/>
      <c r="AM80" s="1"/>
      <c r="AN80" s="1"/>
      <c r="BG80" s="109"/>
      <c r="BH80" s="109"/>
      <c r="BI80" s="109"/>
      <c r="BJ80" s="109"/>
      <c r="BK80" s="109"/>
      <c r="BL80" s="109"/>
      <c r="BM80" s="109"/>
      <c r="BN80" s="109"/>
      <c r="BO80" s="109"/>
      <c r="BP80" s="109"/>
      <c r="BQ80" s="90"/>
      <c r="BR80" s="1"/>
      <c r="BS80" s="1"/>
    </row>
    <row r="81" spans="4:86" x14ac:dyDescent="0.3">
      <c r="D81" s="1"/>
      <c r="E81" s="123" t="s">
        <v>47</v>
      </c>
      <c r="F81" s="124"/>
      <c r="G81" s="124" t="s">
        <v>58</v>
      </c>
      <c r="H81" s="10"/>
      <c r="I81" s="10"/>
      <c r="J81" s="10"/>
      <c r="K81" s="61"/>
      <c r="L81" s="10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90"/>
      <c r="BR81" s="1"/>
      <c r="BS81" s="1"/>
    </row>
    <row r="82" spans="4:86" x14ac:dyDescent="0.3">
      <c r="D82" s="1"/>
      <c r="E82" s="123" t="s">
        <v>69</v>
      </c>
      <c r="F82" s="61"/>
      <c r="G82" s="93" t="s">
        <v>70</v>
      </c>
      <c r="H82" s="61"/>
      <c r="I82" s="61"/>
      <c r="J82" s="61"/>
      <c r="K82" s="61"/>
      <c r="L82" s="6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90"/>
      <c r="BR82" s="1"/>
      <c r="BS82" s="1"/>
    </row>
    <row r="83" spans="4:86" x14ac:dyDescent="0.3">
      <c r="AC83" s="1"/>
      <c r="AD83" s="1"/>
      <c r="AE83" s="1"/>
      <c r="AF83" s="1"/>
      <c r="AG83" s="1"/>
      <c r="AH83" s="1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1"/>
      <c r="BS83" s="1"/>
    </row>
    <row r="84" spans="4:86" x14ac:dyDescent="0.3">
      <c r="AC84" s="1"/>
      <c r="AD84" s="1"/>
      <c r="AE84" s="1"/>
      <c r="AF84" s="1"/>
      <c r="AG84" s="1"/>
      <c r="AH84" s="1"/>
    </row>
    <row r="85" spans="4:86" x14ac:dyDescent="0.3">
      <c r="D85" s="56"/>
      <c r="AC85" s="1"/>
      <c r="AD85" s="1"/>
      <c r="AE85" s="1"/>
      <c r="AF85" s="1"/>
      <c r="AG85" s="1"/>
      <c r="AH85" s="1"/>
    </row>
    <row r="86" spans="4:86" x14ac:dyDescent="0.3">
      <c r="AC86" s="1"/>
      <c r="AD86" s="1"/>
      <c r="AE86" s="1"/>
      <c r="AF86" s="1"/>
      <c r="AG86" s="1"/>
      <c r="AH86" s="1"/>
    </row>
    <row r="87" spans="4:86" x14ac:dyDescent="0.3">
      <c r="D87" s="458"/>
      <c r="AC87" s="1"/>
      <c r="AD87" s="1"/>
      <c r="AE87" s="1"/>
      <c r="AF87" s="1"/>
      <c r="AG87" s="1"/>
      <c r="AH87" s="1"/>
    </row>
    <row r="88" spans="4:86" x14ac:dyDescent="0.3">
      <c r="AC88" s="1"/>
      <c r="AD88" s="1"/>
      <c r="AE88" s="1"/>
      <c r="AF88" s="1"/>
      <c r="AG88" s="1"/>
      <c r="AH88" s="1"/>
    </row>
    <row r="89" spans="4:86" x14ac:dyDescent="0.3">
      <c r="AC89" s="1"/>
      <c r="AD89" s="1"/>
      <c r="AE89" s="1"/>
      <c r="AF89" s="1"/>
      <c r="AG89" s="1"/>
      <c r="AH89" s="1"/>
    </row>
    <row r="90" spans="4:86" x14ac:dyDescent="0.3">
      <c r="AC90" s="1"/>
      <c r="AD90" s="1"/>
      <c r="AE90" s="1"/>
      <c r="AF90" s="1"/>
      <c r="AG90" s="1"/>
      <c r="AH90" s="1"/>
    </row>
    <row r="91" spans="4:86" x14ac:dyDescent="0.3">
      <c r="AC91" s="1"/>
      <c r="AD91" s="1"/>
      <c r="AE91" s="1"/>
      <c r="AF91" s="1"/>
      <c r="AG91" s="1"/>
      <c r="AH91" s="1"/>
    </row>
    <row r="92" spans="4:86" x14ac:dyDescent="0.3">
      <c r="AC92" s="1"/>
      <c r="AD92" s="1"/>
      <c r="AE92" s="1"/>
      <c r="AF92" s="1"/>
      <c r="AG92" s="1"/>
      <c r="AH92" s="1"/>
    </row>
    <row r="93" spans="4:86" x14ac:dyDescent="0.3">
      <c r="AC93" s="1"/>
      <c r="AD93" s="1"/>
      <c r="AE93" s="1"/>
      <c r="AF93" s="1"/>
      <c r="AG93" s="1"/>
      <c r="AH93" s="1"/>
      <c r="BC93" s="90"/>
      <c r="BD93" s="90"/>
      <c r="BE93" s="90"/>
      <c r="BF93" s="90"/>
      <c r="BG93" s="90"/>
      <c r="BH93" s="90"/>
      <c r="BI93" s="90"/>
      <c r="BJ93" s="90"/>
      <c r="BK93" s="90"/>
      <c r="BL93" s="90"/>
      <c r="BM93" s="90"/>
      <c r="BN93" s="90"/>
      <c r="BO93" s="90"/>
      <c r="BP93" s="90"/>
      <c r="BQ93" s="90"/>
      <c r="BR93" s="1"/>
      <c r="BS93" s="1"/>
      <c r="BT93" s="1"/>
      <c r="BU93" s="1"/>
      <c r="BV93" s="90"/>
      <c r="BW93" s="90"/>
      <c r="BX93" s="90"/>
      <c r="BY93" s="90"/>
      <c r="BZ93" s="90"/>
      <c r="CA93" s="90"/>
      <c r="CB93" s="90"/>
      <c r="CC93" s="90"/>
      <c r="CD93" s="90"/>
      <c r="CE93" s="90"/>
      <c r="CF93" s="90"/>
      <c r="CG93" s="90"/>
      <c r="CH93" s="90"/>
    </row>
    <row r="94" spans="4:86" x14ac:dyDescent="0.3">
      <c r="AC94" s="10"/>
      <c r="AD94" s="10"/>
      <c r="AE94" s="10"/>
      <c r="AF94" s="10"/>
      <c r="AG94" s="10"/>
      <c r="AH94" s="10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89"/>
      <c r="BW94" s="89"/>
      <c r="BX94" s="89"/>
      <c r="BY94" s="89"/>
      <c r="BZ94" s="121"/>
      <c r="CA94" s="1"/>
      <c r="CB94" s="1"/>
      <c r="CC94" s="1"/>
      <c r="CD94" s="1"/>
      <c r="CE94" s="1"/>
      <c r="CF94" s="1"/>
      <c r="CG94" s="1"/>
      <c r="CH94" s="1"/>
    </row>
    <row r="95" spans="4:86" x14ac:dyDescent="0.3">
      <c r="D95">
        <v>10</v>
      </c>
      <c r="AC95" s="10"/>
      <c r="AD95" s="10"/>
      <c r="AE95" s="10"/>
      <c r="AF95" s="10"/>
      <c r="AG95" s="10"/>
      <c r="AH95" s="10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89"/>
      <c r="BW95" s="89"/>
      <c r="BX95" s="89"/>
      <c r="BY95" s="89"/>
      <c r="BZ95" s="89"/>
      <c r="CA95" s="1"/>
      <c r="CB95" s="1"/>
      <c r="CC95" s="1"/>
      <c r="CD95" s="1"/>
      <c r="CE95" s="1"/>
      <c r="CF95" s="1"/>
      <c r="CG95" s="1"/>
      <c r="CH95" s="1"/>
    </row>
    <row r="96" spans="4:86" x14ac:dyDescent="0.3">
      <c r="D96" s="1">
        <v>1000000</v>
      </c>
      <c r="AC96" s="10"/>
      <c r="AD96" s="10"/>
      <c r="AE96" s="10"/>
      <c r="AF96" s="10"/>
      <c r="AG96" s="10"/>
      <c r="AH96" s="10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89"/>
      <c r="BW96" s="89"/>
      <c r="BX96" s="89"/>
      <c r="BY96" s="89"/>
      <c r="BZ96" s="89"/>
      <c r="CA96" s="1"/>
      <c r="CB96" s="1"/>
      <c r="CC96" s="1"/>
      <c r="CD96" s="1"/>
      <c r="CE96" s="1"/>
      <c r="CF96" s="1"/>
    </row>
    <row r="97" spans="2:84" x14ac:dyDescent="0.3">
      <c r="D97" s="57">
        <f>+D95/D96</f>
        <v>1.0000000000000001E-5</v>
      </c>
      <c r="AC97" s="10"/>
      <c r="AD97" s="10"/>
      <c r="AE97" s="10"/>
      <c r="AF97" s="10"/>
      <c r="AG97" s="10"/>
      <c r="AH97" s="10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89"/>
      <c r="BW97" s="89"/>
      <c r="BX97" s="89"/>
      <c r="BY97" s="89"/>
      <c r="BZ97" s="89"/>
      <c r="CA97" s="1"/>
      <c r="CB97" s="1"/>
      <c r="CC97" s="1"/>
      <c r="CD97" s="1"/>
      <c r="CE97" s="1"/>
      <c r="CF97" s="1"/>
    </row>
    <row r="98" spans="2:84" x14ac:dyDescent="0.3">
      <c r="AC98" s="10"/>
      <c r="AD98" s="10"/>
      <c r="AE98" s="10"/>
      <c r="AF98" s="10"/>
      <c r="AG98" s="10"/>
      <c r="AH98" s="10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89"/>
      <c r="BW98" s="89"/>
      <c r="BX98" s="122"/>
      <c r="BY98" s="89"/>
      <c r="BZ98" s="89"/>
    </row>
    <row r="99" spans="2:84" x14ac:dyDescent="0.3">
      <c r="AC99" s="10"/>
      <c r="AD99" s="10"/>
      <c r="AE99" s="10"/>
      <c r="AF99" s="10"/>
      <c r="AG99" s="10"/>
      <c r="AH99" s="10"/>
      <c r="AI99" s="90"/>
      <c r="AJ99" s="90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5"/>
      <c r="BA99" s="90"/>
      <c r="BB99" s="90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89"/>
      <c r="BW99" s="89"/>
      <c r="BX99" s="89"/>
      <c r="BY99" s="89"/>
      <c r="BZ99" s="89"/>
    </row>
    <row r="100" spans="2:84" x14ac:dyDescent="0.3">
      <c r="AC100" s="10"/>
      <c r="AD100" s="10"/>
      <c r="AE100" s="10"/>
      <c r="AF100" s="10"/>
      <c r="AG100" s="10"/>
      <c r="AH100" s="10"/>
      <c r="AI100" s="90"/>
      <c r="AJ100" s="90"/>
      <c r="AK100" s="151"/>
      <c r="AL100" s="151"/>
      <c r="AM100" s="151"/>
      <c r="AN100" s="151"/>
      <c r="AO100" s="151"/>
      <c r="AP100" s="151"/>
      <c r="AQ100" s="151"/>
      <c r="AR100" s="90"/>
      <c r="AS100" s="90"/>
      <c r="AT100" s="90"/>
      <c r="AU100" s="110"/>
      <c r="AV100" s="110"/>
      <c r="AW100" s="110"/>
      <c r="AX100" s="110"/>
      <c r="AY100" s="90"/>
      <c r="AZ100" s="90"/>
      <c r="BA100" s="110"/>
      <c r="BB100" s="90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89"/>
      <c r="BW100" s="89"/>
      <c r="BX100" s="89"/>
      <c r="BY100" s="89"/>
      <c r="BZ100" s="89"/>
    </row>
    <row r="101" spans="2:84" x14ac:dyDescent="0.3">
      <c r="AC101" s="10"/>
      <c r="AD101" s="10"/>
      <c r="AE101" s="10"/>
      <c r="AF101" s="10"/>
      <c r="AG101" s="10"/>
      <c r="AH101" s="10"/>
      <c r="AI101" s="90"/>
      <c r="AJ101" s="90"/>
      <c r="AK101" s="151"/>
      <c r="AL101" s="151"/>
      <c r="AM101" s="151"/>
      <c r="AN101" s="151"/>
      <c r="AO101" s="151"/>
      <c r="AP101" s="151"/>
      <c r="AQ101" s="151"/>
      <c r="AR101" s="151"/>
      <c r="AS101" s="110"/>
      <c r="AT101" s="90"/>
      <c r="AU101" s="110"/>
      <c r="AV101" s="110"/>
      <c r="AW101" s="110"/>
      <c r="AX101" s="110"/>
      <c r="AY101" s="90"/>
      <c r="AZ101" s="90"/>
      <c r="BA101" s="110"/>
      <c r="BB101" s="90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89"/>
      <c r="BW101" s="89"/>
      <c r="BX101" s="89"/>
      <c r="BY101" s="89"/>
      <c r="BZ101" s="89"/>
    </row>
    <row r="102" spans="2:84" x14ac:dyDescent="0.3">
      <c r="AC102" s="10"/>
      <c r="AD102" s="10"/>
      <c r="AE102" s="10"/>
      <c r="AF102" s="10"/>
      <c r="AG102" s="10"/>
      <c r="AH102" s="10"/>
      <c r="AI102" s="90"/>
      <c r="AJ102" s="90"/>
      <c r="AK102" s="90"/>
      <c r="AL102" s="90"/>
      <c r="AM102" s="152"/>
      <c r="AN102" s="152"/>
      <c r="AO102" s="152"/>
      <c r="AP102" s="152"/>
      <c r="AQ102" s="152"/>
      <c r="AR102" s="90"/>
      <c r="AS102" s="90"/>
      <c r="AT102" s="90"/>
      <c r="AU102" s="110"/>
      <c r="AV102" s="110"/>
      <c r="AW102" s="110"/>
      <c r="AX102" s="110"/>
      <c r="AY102" s="90"/>
      <c r="AZ102" s="90"/>
      <c r="BA102" s="110"/>
      <c r="BB102" s="90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89"/>
      <c r="BW102" s="89"/>
      <c r="BX102" s="89"/>
      <c r="BY102" s="89"/>
      <c r="BZ102" s="89"/>
    </row>
    <row r="103" spans="2:84" x14ac:dyDescent="0.3">
      <c r="AC103" s="10"/>
      <c r="AD103" s="10"/>
      <c r="AE103" s="10"/>
      <c r="AF103" s="10"/>
      <c r="AG103" s="10"/>
      <c r="AH103" s="10"/>
      <c r="AI103" s="90"/>
      <c r="AJ103" s="90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10"/>
      <c r="AV103" s="110"/>
      <c r="AW103" s="110"/>
      <c r="AX103" s="110"/>
      <c r="AY103" s="90"/>
      <c r="AZ103" s="90"/>
      <c r="BA103" s="110"/>
      <c r="BB103" s="90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</row>
    <row r="104" spans="2:84" x14ac:dyDescent="0.3">
      <c r="AC104" s="10"/>
      <c r="AD104" s="10"/>
      <c r="AE104" s="10"/>
      <c r="AF104" s="10"/>
      <c r="AG104" s="10"/>
      <c r="AH104" s="10"/>
      <c r="AI104" s="90"/>
      <c r="AJ104" s="90"/>
      <c r="AK104" s="90"/>
      <c r="AL104" s="90"/>
      <c r="AM104" s="152"/>
      <c r="AN104" s="152"/>
      <c r="AO104" s="152"/>
      <c r="AP104" s="152"/>
      <c r="AQ104" s="152"/>
      <c r="AR104" s="152"/>
      <c r="AS104" s="152"/>
      <c r="AT104" s="90"/>
      <c r="AU104" s="110"/>
      <c r="AV104" s="110"/>
      <c r="AW104" s="110"/>
      <c r="AX104" s="110"/>
      <c r="AY104" s="90"/>
      <c r="AZ104" s="90"/>
      <c r="BA104" s="110"/>
      <c r="BB104" s="90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</row>
    <row r="105" spans="2:84" x14ac:dyDescent="0.3">
      <c r="AC105" s="10"/>
      <c r="AD105" s="10"/>
      <c r="AE105" s="10"/>
      <c r="AF105" s="10"/>
      <c r="AG105" s="10"/>
      <c r="AH105" s="10"/>
      <c r="AI105" s="90"/>
      <c r="AJ105" s="90"/>
      <c r="AK105" s="90"/>
      <c r="AL105" s="90"/>
      <c r="AM105" s="152"/>
      <c r="AN105" s="152"/>
      <c r="AO105" s="152"/>
      <c r="AP105" s="152"/>
      <c r="AQ105" s="152"/>
      <c r="AR105" s="152"/>
      <c r="AS105" s="152"/>
      <c r="AT105" s="90"/>
      <c r="AU105" s="110"/>
      <c r="AV105" s="110"/>
      <c r="AW105" s="110"/>
      <c r="AX105" s="110"/>
      <c r="AY105" s="90"/>
      <c r="AZ105" s="90"/>
      <c r="BA105" s="110"/>
      <c r="BB105" s="90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</row>
    <row r="106" spans="2:84" x14ac:dyDescent="0.3">
      <c r="AC106" s="10"/>
      <c r="AD106" s="10"/>
      <c r="AE106" s="10"/>
      <c r="AF106" s="10"/>
      <c r="AG106" s="10"/>
      <c r="AH106" s="10"/>
      <c r="AI106" s="90"/>
      <c r="AJ106" s="90"/>
      <c r="AK106" s="90"/>
      <c r="AL106" s="90"/>
      <c r="AM106" s="152"/>
      <c r="AN106" s="152"/>
      <c r="AO106" s="152"/>
      <c r="AP106" s="152"/>
      <c r="AQ106" s="152"/>
      <c r="AR106" s="152"/>
      <c r="AS106" s="152"/>
      <c r="AT106" s="90"/>
      <c r="AU106" s="110"/>
      <c r="AV106" s="110"/>
      <c r="AW106" s="110"/>
      <c r="AX106" s="110"/>
      <c r="AY106" s="90"/>
      <c r="AZ106" s="90"/>
      <c r="BA106" s="110"/>
      <c r="BB106" s="90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</row>
    <row r="107" spans="2:84" x14ac:dyDescent="0.3">
      <c r="AC107" s="10"/>
      <c r="AD107" s="10"/>
      <c r="AE107" s="10"/>
      <c r="AF107" s="10"/>
      <c r="AG107" s="10"/>
      <c r="AH107" s="10"/>
      <c r="AI107" s="90"/>
      <c r="AJ107" s="90"/>
      <c r="AK107" s="90"/>
      <c r="AL107" s="90"/>
      <c r="AM107" s="152"/>
      <c r="AN107" s="152"/>
      <c r="AO107" s="152"/>
      <c r="AP107" s="152"/>
      <c r="AQ107" s="152"/>
      <c r="AR107" s="152"/>
      <c r="AS107" s="152"/>
      <c r="AT107" s="90"/>
      <c r="AU107" s="110"/>
      <c r="AV107" s="110"/>
      <c r="AW107" s="110"/>
      <c r="AX107" s="110"/>
      <c r="AY107" s="90"/>
      <c r="AZ107" s="90"/>
      <c r="BA107" s="110"/>
      <c r="BB107" s="90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</row>
    <row r="108" spans="2:84" x14ac:dyDescent="0.3">
      <c r="AC108" s="10"/>
      <c r="AD108" s="10"/>
      <c r="AE108" s="10"/>
      <c r="AF108" s="10"/>
      <c r="AG108" s="10"/>
      <c r="AH108" s="10"/>
      <c r="AI108" s="90"/>
      <c r="AJ108" s="90"/>
      <c r="AK108" s="90"/>
      <c r="AL108" s="90"/>
      <c r="AM108" s="152"/>
      <c r="AN108" s="152"/>
      <c r="AO108" s="152"/>
      <c r="AP108" s="152"/>
      <c r="AQ108" s="152"/>
      <c r="AR108" s="152"/>
      <c r="AS108" s="152"/>
      <c r="AT108" s="90"/>
      <c r="AU108" s="110"/>
      <c r="AV108" s="110"/>
      <c r="AW108" s="110"/>
      <c r="AX108" s="110"/>
      <c r="AY108" s="90"/>
      <c r="AZ108" s="90"/>
      <c r="BA108" s="110"/>
      <c r="BB108" s="90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</row>
    <row r="109" spans="2:84" x14ac:dyDescent="0.3">
      <c r="AC109" s="10"/>
      <c r="AD109" s="10"/>
      <c r="AE109" s="10"/>
      <c r="AF109" s="10"/>
      <c r="AG109" s="10"/>
      <c r="AH109" s="10"/>
      <c r="AI109" s="90"/>
      <c r="AJ109" s="90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90"/>
      <c r="AV109" s="90"/>
      <c r="AW109" s="90"/>
      <c r="AX109" s="90"/>
      <c r="AY109" s="90"/>
      <c r="AZ109" s="110"/>
      <c r="BA109" s="110"/>
      <c r="BB109" s="90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</row>
    <row r="110" spans="2:84" x14ac:dyDescent="0.3">
      <c r="AC110" s="10"/>
      <c r="AD110" s="10"/>
      <c r="AE110" s="10"/>
      <c r="AF110" s="10"/>
      <c r="AG110" s="10"/>
      <c r="AH110" s="10"/>
      <c r="AI110" s="90"/>
      <c r="AJ110" s="90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90"/>
      <c r="AZ110" s="90"/>
      <c r="BA110" s="110"/>
      <c r="BB110" s="90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</row>
    <row r="111" spans="2:84" x14ac:dyDescent="0.3"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90"/>
      <c r="AT111" s="110"/>
      <c r="AU111" s="153"/>
      <c r="AV111" s="153"/>
      <c r="AW111" s="153"/>
      <c r="AX111" s="153"/>
      <c r="AY111" s="110"/>
      <c r="AZ111" s="110"/>
      <c r="BA111" s="110"/>
      <c r="BB111" s="110"/>
    </row>
    <row r="112" spans="2:84" x14ac:dyDescent="0.3">
      <c r="B112" s="125"/>
      <c r="D112" s="55"/>
      <c r="AI112" s="110"/>
      <c r="AJ112" s="110"/>
      <c r="AK112" s="110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90"/>
      <c r="AV112" s="90"/>
      <c r="AW112" s="90"/>
      <c r="AX112" s="90"/>
      <c r="AY112" s="110"/>
      <c r="AZ112" s="154"/>
      <c r="BA112" s="110"/>
      <c r="BB112" s="110"/>
    </row>
    <row r="113" spans="2:54" x14ac:dyDescent="0.3">
      <c r="B113" s="1"/>
      <c r="D113" s="55"/>
      <c r="W113" s="61"/>
      <c r="X113" s="61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110"/>
      <c r="AZ113" s="110"/>
      <c r="BA113" s="110"/>
      <c r="BB113" s="110"/>
    </row>
    <row r="114" spans="2:54" x14ac:dyDescent="0.3">
      <c r="B114" s="1"/>
      <c r="D114" s="55"/>
      <c r="W114" s="61"/>
      <c r="X114" s="61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</row>
    <row r="115" spans="2:54" x14ac:dyDescent="0.3">
      <c r="B115" s="1"/>
      <c r="D115" s="55"/>
      <c r="W115" s="61"/>
      <c r="X115" s="61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</row>
    <row r="116" spans="2:54" x14ac:dyDescent="0.3">
      <c r="B116" s="1"/>
      <c r="D116" s="55"/>
      <c r="W116" s="61"/>
      <c r="X116" s="61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</row>
    <row r="117" spans="2:54" x14ac:dyDescent="0.3">
      <c r="B117" s="55"/>
      <c r="D117" s="55"/>
      <c r="W117" s="61"/>
      <c r="X117" s="61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</row>
    <row r="118" spans="2:54" x14ac:dyDescent="0.3">
      <c r="B118" s="57"/>
      <c r="D118" s="55"/>
      <c r="W118" s="61"/>
      <c r="X118" s="61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  <c r="AN118" s="110"/>
      <c r="AO118" s="110"/>
      <c r="AP118" s="110"/>
      <c r="AQ118" s="110"/>
    </row>
    <row r="119" spans="2:54" x14ac:dyDescent="0.3">
      <c r="B119" s="1"/>
      <c r="D119" s="55"/>
      <c r="W119" s="61"/>
      <c r="X119" s="61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  <c r="AN119" s="110"/>
      <c r="AO119" s="110"/>
      <c r="AP119" s="110"/>
      <c r="AQ119" s="110"/>
    </row>
    <row r="120" spans="2:54" x14ac:dyDescent="0.3">
      <c r="B120" s="1"/>
      <c r="D120" s="55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</row>
    <row r="121" spans="2:54" x14ac:dyDescent="0.3">
      <c r="B121" s="1"/>
      <c r="D121" s="55"/>
    </row>
    <row r="122" spans="2:54" x14ac:dyDescent="0.3">
      <c r="B122" s="1"/>
      <c r="D122" s="55"/>
    </row>
    <row r="123" spans="2:54" x14ac:dyDescent="0.3">
      <c r="B123" s="57" t="e">
        <f>+B122/B121</f>
        <v>#DIV/0!</v>
      </c>
      <c r="D123" s="55"/>
    </row>
    <row r="124" spans="2:54" x14ac:dyDescent="0.3">
      <c r="B124" s="1"/>
      <c r="D124" s="55"/>
    </row>
    <row r="125" spans="2:54" x14ac:dyDescent="0.3">
      <c r="B125" s="1"/>
      <c r="D125" s="55"/>
    </row>
    <row r="126" spans="2:54" x14ac:dyDescent="0.3">
      <c r="B126" s="1">
        <f>+B122*50</f>
        <v>0</v>
      </c>
      <c r="D126" s="55"/>
    </row>
    <row r="127" spans="2:54" x14ac:dyDescent="0.3">
      <c r="B127" s="1"/>
      <c r="D127" s="55"/>
    </row>
    <row r="128" spans="2:54" x14ac:dyDescent="0.3">
      <c r="B128" s="1"/>
      <c r="D128" s="55"/>
    </row>
    <row r="129" spans="2:4" x14ac:dyDescent="0.3">
      <c r="B129" s="1"/>
      <c r="D129" s="55"/>
    </row>
    <row r="130" spans="2:4" x14ac:dyDescent="0.3">
      <c r="B130" s="1"/>
      <c r="D130" s="55"/>
    </row>
    <row r="131" spans="2:4" x14ac:dyDescent="0.3">
      <c r="B131" s="1"/>
      <c r="D131" s="55"/>
    </row>
    <row r="132" spans="2:4" x14ac:dyDescent="0.3">
      <c r="B132" s="1"/>
      <c r="D132" s="55"/>
    </row>
    <row r="133" spans="2:4" x14ac:dyDescent="0.3">
      <c r="B133" s="1"/>
      <c r="D133" s="55"/>
    </row>
    <row r="134" spans="2:4" x14ac:dyDescent="0.3">
      <c r="B134" s="1"/>
      <c r="D134" s="55"/>
    </row>
    <row r="135" spans="2:4" x14ac:dyDescent="0.3">
      <c r="B135" s="1"/>
      <c r="D135" s="55"/>
    </row>
    <row r="136" spans="2:4" x14ac:dyDescent="0.3">
      <c r="B136" s="1"/>
    </row>
    <row r="137" spans="2:4" x14ac:dyDescent="0.3">
      <c r="B137" s="1"/>
    </row>
    <row r="138" spans="2:4" x14ac:dyDescent="0.3">
      <c r="B138" s="1"/>
    </row>
    <row r="139" spans="2:4" x14ac:dyDescent="0.3">
      <c r="B139" s="1"/>
    </row>
    <row r="140" spans="2:4" x14ac:dyDescent="0.3">
      <c r="B140" s="1"/>
    </row>
    <row r="141" spans="2:4" x14ac:dyDescent="0.3">
      <c r="B141" s="1"/>
    </row>
    <row r="142" spans="2:4" x14ac:dyDescent="0.3">
      <c r="B142" s="1"/>
    </row>
    <row r="143" spans="2:4" x14ac:dyDescent="0.3">
      <c r="B143" s="1"/>
    </row>
  </sheetData>
  <mergeCells count="19">
    <mergeCell ref="B1:D1"/>
    <mergeCell ref="B2:D2"/>
    <mergeCell ref="J4:AB4"/>
    <mergeCell ref="D7:J7"/>
    <mergeCell ref="B3:C3"/>
    <mergeCell ref="F6:L6"/>
    <mergeCell ref="X6:AI6"/>
    <mergeCell ref="V7:AI7"/>
    <mergeCell ref="P6:T6"/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</mergeCells>
  <printOptions horizontalCentered="1"/>
  <pageMargins left="0.45" right="0.45" top="0.5" bottom="0.5" header="0.3" footer="0.3"/>
  <pageSetup scale="6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86"/>
  <sheetViews>
    <sheetView topLeftCell="A40" workbookViewId="0">
      <selection activeCell="AF74" sqref="AF74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8" t="s">
        <v>5</v>
      </c>
      <c r="D1" s="168"/>
      <c r="E1" s="168"/>
    </row>
    <row r="2" spans="3:40" ht="15.6" x14ac:dyDescent="0.3">
      <c r="C2" s="168" t="s">
        <v>6</v>
      </c>
      <c r="D2" s="168"/>
      <c r="E2" s="168"/>
    </row>
    <row r="3" spans="3:40" x14ac:dyDescent="0.3">
      <c r="C3" s="169" t="s">
        <v>13</v>
      </c>
      <c r="D3" s="169"/>
    </row>
    <row r="4" spans="3:40" x14ac:dyDescent="0.3">
      <c r="D4" s="169"/>
      <c r="E4" s="169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80</v>
      </c>
      <c r="E7" s="506" t="s">
        <v>7</v>
      </c>
      <c r="F7" s="507"/>
      <c r="G7" s="511">
        <v>0.7</v>
      </c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2"/>
    </row>
    <row r="8" spans="3:40" x14ac:dyDescent="0.3">
      <c r="E8" s="508" t="s">
        <v>128</v>
      </c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10"/>
    </row>
    <row r="9" spans="3:40" x14ac:dyDescent="0.3">
      <c r="E9" s="526" t="s">
        <v>37</v>
      </c>
      <c r="F9" s="527"/>
      <c r="G9" s="527"/>
      <c r="H9" s="527"/>
      <c r="I9" s="527"/>
      <c r="J9" s="527"/>
      <c r="K9" s="527"/>
      <c r="L9" s="527"/>
      <c r="M9" s="527"/>
      <c r="N9" s="527"/>
      <c r="O9" s="527"/>
      <c r="P9" s="528"/>
      <c r="Q9" s="524" t="s">
        <v>118</v>
      </c>
      <c r="R9" s="5"/>
      <c r="S9" s="521" t="s">
        <v>4</v>
      </c>
      <c r="T9" s="522"/>
      <c r="U9" s="523"/>
      <c r="W9" s="58" t="s">
        <v>18</v>
      </c>
    </row>
    <row r="10" spans="3:40" x14ac:dyDescent="0.3">
      <c r="E10" s="284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4" t="s">
        <v>81</v>
      </c>
      <c r="N10" s="119"/>
      <c r="O10" s="120" t="s">
        <v>15</v>
      </c>
      <c r="P10" s="375"/>
      <c r="Q10" s="525"/>
      <c r="R10" s="6"/>
      <c r="S10" s="4" t="s">
        <v>4</v>
      </c>
      <c r="T10" s="6"/>
      <c r="U10" s="285" t="s">
        <v>82</v>
      </c>
    </row>
    <row r="11" spans="3:40" x14ac:dyDescent="0.3">
      <c r="C11" s="172">
        <v>43910</v>
      </c>
      <c r="E11" s="286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6"/>
      <c r="R11" s="6"/>
      <c r="S11" s="6"/>
      <c r="T11" s="6"/>
      <c r="U11" s="287"/>
      <c r="W11">
        <v>1</v>
      </c>
      <c r="AL11" s="110"/>
      <c r="AM11" s="110"/>
      <c r="AN11" s="110"/>
    </row>
    <row r="12" spans="3:40" ht="15" thickBot="1" x14ac:dyDescent="0.35">
      <c r="C12" s="172">
        <f>+C11+1</f>
        <v>43911</v>
      </c>
      <c r="E12" s="286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6"/>
      <c r="R12" s="6"/>
      <c r="S12" s="6"/>
      <c r="T12" s="6"/>
      <c r="U12" s="287"/>
      <c r="W12">
        <f t="shared" ref="W12:W72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2">
        <f>+C12+1</f>
        <v>43912</v>
      </c>
      <c r="E13" s="286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6"/>
      <c r="R13" s="6"/>
      <c r="S13" s="6"/>
      <c r="T13" s="6"/>
      <c r="U13" s="287"/>
      <c r="W13">
        <f t="shared" si="0"/>
        <v>3</v>
      </c>
      <c r="Z13" s="1"/>
      <c r="AA13" s="1"/>
      <c r="AB13" s="1"/>
      <c r="AC13" s="204" t="s">
        <v>61</v>
      </c>
      <c r="AD13" s="205"/>
      <c r="AE13" s="205"/>
      <c r="AF13" s="205"/>
      <c r="AG13" s="205"/>
      <c r="AH13" s="205"/>
      <c r="AI13" s="205"/>
      <c r="AJ13" s="205"/>
      <c r="AK13" s="206"/>
      <c r="AL13" s="155"/>
      <c r="AM13" s="155"/>
      <c r="AN13" s="110"/>
    </row>
    <row r="14" spans="3:40" ht="15" thickBot="1" x14ac:dyDescent="0.35">
      <c r="C14" s="172">
        <f t="shared" ref="C14:C72" si="1">+C13+1</f>
        <v>43913</v>
      </c>
      <c r="E14" s="286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6"/>
      <c r="R14" s="6"/>
      <c r="S14" s="6"/>
      <c r="T14" s="6"/>
      <c r="U14" s="287"/>
      <c r="W14">
        <f t="shared" si="0"/>
        <v>4</v>
      </c>
      <c r="Z14" s="1"/>
      <c r="AA14" s="1"/>
      <c r="AB14" s="1"/>
      <c r="AC14" s="207"/>
      <c r="AD14" s="518" t="s">
        <v>48</v>
      </c>
      <c r="AE14" s="519"/>
      <c r="AF14" s="520"/>
      <c r="AG14" s="208"/>
      <c r="AH14" s="516" t="s">
        <v>32</v>
      </c>
      <c r="AI14" s="209"/>
      <c r="AJ14" s="209"/>
      <c r="AK14" s="210"/>
      <c r="AL14" s="110"/>
      <c r="AM14" s="110"/>
      <c r="AN14" s="110"/>
    </row>
    <row r="15" spans="3:40" ht="15" thickBot="1" x14ac:dyDescent="0.35">
      <c r="C15" s="172">
        <f t="shared" si="1"/>
        <v>43914</v>
      </c>
      <c r="E15" s="286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6"/>
      <c r="R15" s="6"/>
      <c r="S15" s="6"/>
      <c r="T15" s="6"/>
      <c r="U15" s="287"/>
      <c r="W15">
        <f t="shared" si="0"/>
        <v>5</v>
      </c>
      <c r="Z15" s="1"/>
      <c r="AA15" s="1"/>
      <c r="AB15" s="1"/>
      <c r="AC15" s="191"/>
      <c r="AD15" s="170"/>
      <c r="AE15" s="170"/>
      <c r="AF15" s="211" t="s">
        <v>20</v>
      </c>
      <c r="AG15" s="212"/>
      <c r="AH15" s="517"/>
      <c r="AI15" s="213"/>
      <c r="AJ15" s="214" t="s">
        <v>4</v>
      </c>
      <c r="AK15" s="215"/>
      <c r="AL15" s="110"/>
      <c r="AM15" s="110"/>
      <c r="AN15" s="110"/>
    </row>
    <row r="16" spans="3:40" x14ac:dyDescent="0.3">
      <c r="C16" s="172">
        <f t="shared" si="1"/>
        <v>43915</v>
      </c>
      <c r="E16" s="286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6"/>
      <c r="R16" s="6"/>
      <c r="S16" s="6"/>
      <c r="T16" s="6"/>
      <c r="U16" s="287"/>
      <c r="W16">
        <f t="shared" si="0"/>
        <v>6</v>
      </c>
      <c r="Z16" s="1"/>
      <c r="AA16" s="1"/>
      <c r="AB16" s="1"/>
      <c r="AC16" s="191"/>
      <c r="AD16" s="203" t="s">
        <v>39</v>
      </c>
      <c r="AE16" s="170"/>
      <c r="AF16" s="203">
        <f>+K74</f>
        <v>537727</v>
      </c>
      <c r="AG16" s="202"/>
      <c r="AH16" s="216">
        <f>+AJ31</f>
        <v>1652.8744820168411</v>
      </c>
      <c r="AI16" s="216"/>
      <c r="AJ16" s="217">
        <f>+S74</f>
        <v>44640</v>
      </c>
      <c r="AK16" s="218"/>
      <c r="AL16" s="110"/>
      <c r="AM16" s="110"/>
      <c r="AN16" s="110"/>
    </row>
    <row r="17" spans="3:41" x14ac:dyDescent="0.3">
      <c r="C17" s="172">
        <f t="shared" si="1"/>
        <v>43916</v>
      </c>
      <c r="E17" s="286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6"/>
      <c r="R17" s="6"/>
      <c r="S17" s="6"/>
      <c r="T17" s="6"/>
      <c r="U17" s="287"/>
      <c r="W17">
        <f t="shared" si="0"/>
        <v>7</v>
      </c>
      <c r="Z17" s="61"/>
      <c r="AA17" s="61"/>
      <c r="AB17" s="10"/>
      <c r="AC17" s="191"/>
      <c r="AD17" s="219" t="s">
        <v>59</v>
      </c>
      <c r="AE17" s="170"/>
      <c r="AF17" s="163">
        <v>87052</v>
      </c>
      <c r="AG17" s="203"/>
      <c r="AH17" s="164">
        <v>1263</v>
      </c>
      <c r="AI17" s="216"/>
      <c r="AJ17" s="163">
        <v>5862</v>
      </c>
      <c r="AK17" s="220"/>
      <c r="AL17" s="110"/>
      <c r="AM17" s="90"/>
      <c r="AN17" s="90"/>
    </row>
    <row r="18" spans="3:41" x14ac:dyDescent="0.3">
      <c r="C18" s="172">
        <f t="shared" si="1"/>
        <v>43917</v>
      </c>
      <c r="E18" s="286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7"/>
      <c r="R18" s="44"/>
      <c r="S18" s="6"/>
      <c r="T18" s="6"/>
      <c r="U18" s="288"/>
      <c r="W18">
        <f t="shared" si="0"/>
        <v>8</v>
      </c>
      <c r="Z18" s="1"/>
      <c r="AA18" s="1"/>
      <c r="AB18" s="1"/>
      <c r="AC18" s="191"/>
      <c r="AD18" s="203" t="s">
        <v>92</v>
      </c>
      <c r="AE18" s="170"/>
      <c r="AF18" s="163">
        <v>66669</v>
      </c>
      <c r="AG18" s="203"/>
      <c r="AH18" s="164">
        <v>521</v>
      </c>
      <c r="AI18" s="216"/>
      <c r="AJ18" s="163">
        <v>4512</v>
      </c>
      <c r="AK18" s="220"/>
      <c r="AL18" s="110"/>
      <c r="AM18" s="90"/>
      <c r="AN18" s="90"/>
    </row>
    <row r="19" spans="3:41" ht="15" thickBot="1" x14ac:dyDescent="0.35">
      <c r="C19" s="172">
        <f t="shared" si="1"/>
        <v>43918</v>
      </c>
      <c r="E19" s="286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9">
        <f>+K19-K18</f>
        <v>9747</v>
      </c>
      <c r="R19" s="44"/>
      <c r="S19" s="7">
        <f>728+140</f>
        <v>868</v>
      </c>
      <c r="T19" s="6"/>
      <c r="U19" s="288">
        <f>+S19/K19</f>
        <v>1.3681788089908893E-2</v>
      </c>
      <c r="W19">
        <f t="shared" si="0"/>
        <v>9</v>
      </c>
      <c r="Z19" s="1"/>
      <c r="AA19" s="1"/>
      <c r="AB19" s="10"/>
      <c r="AC19" s="191"/>
      <c r="AD19" s="170"/>
      <c r="AE19" s="170"/>
      <c r="AF19" s="221">
        <f>SUM(AF16:AF18)</f>
        <v>691448</v>
      </c>
      <c r="AG19" s="203"/>
      <c r="AH19" s="203"/>
      <c r="AI19" s="203"/>
      <c r="AJ19" s="221">
        <f>SUM(AJ16:AJ18)</f>
        <v>55014</v>
      </c>
      <c r="AK19" s="220"/>
      <c r="AL19" s="110"/>
      <c r="AM19" s="90"/>
      <c r="AN19" s="90"/>
    </row>
    <row r="20" spans="3:41" ht="15" thickTop="1" x14ac:dyDescent="0.3">
      <c r="C20" s="172">
        <f t="shared" si="1"/>
        <v>43919</v>
      </c>
      <c r="E20" s="286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9">
        <f t="shared" ref="Q20:Q61" si="4">+K20-K19</f>
        <v>9457</v>
      </c>
      <c r="R20" s="44"/>
      <c r="S20" s="7">
        <f>965+161</f>
        <v>1126</v>
      </c>
      <c r="T20" s="6"/>
      <c r="U20" s="288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1"/>
      <c r="AD20" s="170"/>
      <c r="AE20" s="170"/>
      <c r="AF20" s="203"/>
      <c r="AG20" s="203"/>
      <c r="AH20" s="203"/>
      <c r="AI20" s="203"/>
      <c r="AJ20" s="203"/>
      <c r="AK20" s="220"/>
      <c r="AL20" s="110"/>
      <c r="AM20" s="90"/>
      <c r="AN20" s="90"/>
    </row>
    <row r="21" spans="3:41" ht="15" thickBot="1" x14ac:dyDescent="0.35">
      <c r="C21" s="172">
        <f t="shared" si="1"/>
        <v>43920</v>
      </c>
      <c r="E21" s="286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9">
        <f t="shared" si="4"/>
        <v>10204</v>
      </c>
      <c r="R21" s="44"/>
      <c r="S21" s="7">
        <f>1218+198</f>
        <v>1416</v>
      </c>
      <c r="T21" s="6"/>
      <c r="U21" s="288">
        <f t="shared" si="5"/>
        <v>1.7039096061514023E-2</v>
      </c>
      <c r="W21">
        <f t="shared" si="0"/>
        <v>11</v>
      </c>
      <c r="Z21" s="1"/>
      <c r="AA21" s="1"/>
      <c r="AB21" s="1"/>
      <c r="AC21" s="191"/>
      <c r="AD21" s="222" t="s">
        <v>29</v>
      </c>
      <c r="AE21" s="170"/>
      <c r="AF21" s="223">
        <f>+AF19/'Main Table'!H74</f>
        <v>0.44572337674225515</v>
      </c>
      <c r="AG21" s="203"/>
      <c r="AH21" s="203"/>
      <c r="AI21" s="203"/>
      <c r="AJ21" s="223">
        <f>+AJ19/'Main Table'!Z74</f>
        <v>0.59810178188973806</v>
      </c>
      <c r="AK21" s="220"/>
      <c r="AL21" s="110"/>
      <c r="AM21" s="90"/>
      <c r="AN21" s="90"/>
    </row>
    <row r="22" spans="3:41" ht="15.6" thickTop="1" thickBot="1" x14ac:dyDescent="0.35">
      <c r="C22" s="172">
        <f t="shared" si="1"/>
        <v>43921</v>
      </c>
      <c r="E22" s="286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9">
        <f t="shared" si="4"/>
        <v>11388</v>
      </c>
      <c r="R22" s="6"/>
      <c r="S22" s="7">
        <f>1550+267</f>
        <v>1817</v>
      </c>
      <c r="T22" s="6"/>
      <c r="U22" s="288">
        <f t="shared" si="5"/>
        <v>1.9229344593665005E-2</v>
      </c>
      <c r="W22">
        <f t="shared" si="0"/>
        <v>12</v>
      </c>
      <c r="Z22" s="1"/>
      <c r="AA22" s="1"/>
      <c r="AB22" s="1"/>
      <c r="AC22" s="196"/>
      <c r="AD22" s="224"/>
      <c r="AE22" s="197"/>
      <c r="AF22" s="225"/>
      <c r="AG22" s="226"/>
      <c r="AH22" s="226"/>
      <c r="AI22" s="226"/>
      <c r="AJ22" s="225"/>
      <c r="AK22" s="227"/>
      <c r="AL22" s="110"/>
      <c r="AM22" s="90"/>
      <c r="AN22" s="90"/>
    </row>
    <row r="23" spans="3:41" x14ac:dyDescent="0.3">
      <c r="C23" s="172">
        <f t="shared" si="1"/>
        <v>43922</v>
      </c>
      <c r="E23" s="286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9">
        <f t="shared" si="4"/>
        <v>11476</v>
      </c>
      <c r="R23" s="6"/>
      <c r="S23" s="7">
        <f>1941+355</f>
        <v>2296</v>
      </c>
      <c r="T23" s="6"/>
      <c r="U23" s="288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2">
        <f t="shared" si="1"/>
        <v>43923</v>
      </c>
      <c r="E24" s="286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9">
        <f t="shared" si="4"/>
        <v>12129</v>
      </c>
      <c r="R24" s="6"/>
      <c r="S24" s="7">
        <f>2373+537</f>
        <v>2910</v>
      </c>
      <c r="T24" s="6"/>
      <c r="U24" s="288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M24" s="90"/>
      <c r="AN24" s="90"/>
      <c r="AO24" s="118"/>
    </row>
    <row r="25" spans="3:41" ht="15" thickBot="1" x14ac:dyDescent="0.35">
      <c r="C25" s="172">
        <f t="shared" si="1"/>
        <v>43924</v>
      </c>
      <c r="E25" s="286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9">
        <f t="shared" si="4"/>
        <v>14859</v>
      </c>
      <c r="R25" s="6"/>
      <c r="S25" s="7">
        <f>2935+646</f>
        <v>3581</v>
      </c>
      <c r="T25" s="6"/>
      <c r="U25" s="288">
        <f t="shared" si="5"/>
        <v>2.6933925012222179E-2</v>
      </c>
      <c r="W25">
        <f t="shared" si="0"/>
        <v>15</v>
      </c>
      <c r="Z25" s="1"/>
      <c r="AA25" s="518" t="s">
        <v>57</v>
      </c>
      <c r="AB25" s="519"/>
      <c r="AC25" s="519"/>
      <c r="AD25" s="519"/>
      <c r="AE25" s="519"/>
      <c r="AF25" s="519"/>
      <c r="AG25" s="519"/>
      <c r="AH25" s="519"/>
      <c r="AI25" s="519"/>
      <c r="AJ25" s="519"/>
      <c r="AK25" s="520"/>
      <c r="AL25" s="155"/>
      <c r="AM25" s="155"/>
      <c r="AN25" s="90"/>
      <c r="AO25" s="118"/>
    </row>
    <row r="26" spans="3:41" x14ac:dyDescent="0.3">
      <c r="C26" s="172">
        <f t="shared" si="1"/>
        <v>43925</v>
      </c>
      <c r="E26" s="286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9">
        <f t="shared" si="4"/>
        <v>15002</v>
      </c>
      <c r="R26" s="6"/>
      <c r="S26" s="7">
        <f>3565+846</f>
        <v>4411</v>
      </c>
      <c r="T26" s="6"/>
      <c r="U26" s="288">
        <f t="shared" si="5"/>
        <v>2.9812715856634021E-2</v>
      </c>
      <c r="W26">
        <f t="shared" si="0"/>
        <v>16</v>
      </c>
      <c r="Z26" s="1"/>
      <c r="AA26" s="187"/>
      <c r="AB26" s="188" t="s">
        <v>53</v>
      </c>
      <c r="AC26" s="189"/>
      <c r="AD26" s="188" t="s">
        <v>20</v>
      </c>
      <c r="AE26" s="189"/>
      <c r="AF26" s="188" t="s">
        <v>54</v>
      </c>
      <c r="AG26" s="189"/>
      <c r="AH26" s="188" t="s">
        <v>56</v>
      </c>
      <c r="AI26" s="189"/>
      <c r="AJ26" s="188" t="s">
        <v>55</v>
      </c>
      <c r="AK26" s="190"/>
      <c r="AL26" s="118"/>
      <c r="AM26" s="118"/>
      <c r="AN26" s="90"/>
      <c r="AO26" s="118"/>
    </row>
    <row r="27" spans="3:41" x14ac:dyDescent="0.3">
      <c r="C27" s="172">
        <f t="shared" si="1"/>
        <v>43926</v>
      </c>
      <c r="E27" s="286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9">
        <f t="shared" si="4"/>
        <v>12708</v>
      </c>
      <c r="R27" s="6"/>
      <c r="S27" s="7">
        <f>4150+914</f>
        <v>5064</v>
      </c>
      <c r="T27" s="6"/>
      <c r="U27" s="288">
        <f t="shared" si="5"/>
        <v>3.1518999159742322E-2</v>
      </c>
      <c r="W27">
        <f t="shared" si="0"/>
        <v>17</v>
      </c>
      <c r="Z27" s="1"/>
      <c r="AA27" s="191"/>
      <c r="AB27" s="170" t="s">
        <v>50</v>
      </c>
      <c r="AC27" s="170"/>
      <c r="AD27" s="170">
        <f>+E74</f>
        <v>351371</v>
      </c>
      <c r="AE27" s="170"/>
      <c r="AF27" s="201">
        <v>1806</v>
      </c>
      <c r="AG27" s="170"/>
      <c r="AH27" s="192">
        <f>+AD27/AD$31</f>
        <v>0.56239246197455417</v>
      </c>
      <c r="AI27" s="192"/>
      <c r="AJ27" s="170">
        <f>+AF27*AH27</f>
        <v>1015.6807863260449</v>
      </c>
      <c r="AK27" s="193"/>
      <c r="AL27" s="118"/>
      <c r="AM27" s="90"/>
      <c r="AN27" s="90"/>
      <c r="AO27" s="118"/>
    </row>
    <row r="28" spans="3:41" x14ac:dyDescent="0.3">
      <c r="C28" s="172">
        <f t="shared" si="1"/>
        <v>43927</v>
      </c>
      <c r="E28" s="286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9">
        <f t="shared" si="4"/>
        <v>11985</v>
      </c>
      <c r="R28" s="6"/>
      <c r="S28" s="7">
        <f>4758+1003</f>
        <v>5761</v>
      </c>
      <c r="T28" s="6"/>
      <c r="U28" s="288">
        <f t="shared" si="5"/>
        <v>3.3368085722560094E-2</v>
      </c>
      <c r="W28">
        <f t="shared" si="0"/>
        <v>18</v>
      </c>
      <c r="Z28" s="1"/>
      <c r="AA28" s="191"/>
      <c r="AB28" s="170" t="s">
        <v>51</v>
      </c>
      <c r="AC28" s="170"/>
      <c r="AD28" s="170">
        <f>+G74</f>
        <v>148240</v>
      </c>
      <c r="AE28" s="170"/>
      <c r="AF28" s="201">
        <v>1669</v>
      </c>
      <c r="AG28" s="170"/>
      <c r="AH28" s="192">
        <f>+AD28/AD$31</f>
        <v>0.23726789792870759</v>
      </c>
      <c r="AI28" s="192"/>
      <c r="AJ28" s="170">
        <f>+AF28*AH28</f>
        <v>396.00012164301296</v>
      </c>
      <c r="AK28" s="193"/>
      <c r="AL28" s="118"/>
      <c r="AM28" s="90"/>
      <c r="AN28" s="90"/>
      <c r="AO28" s="118"/>
    </row>
    <row r="29" spans="3:41" x14ac:dyDescent="0.3">
      <c r="C29" s="172">
        <f t="shared" si="1"/>
        <v>43928</v>
      </c>
      <c r="E29" s="286">
        <v>139876</v>
      </c>
      <c r="F29" s="7"/>
      <c r="G29" s="7">
        <f>44416</f>
        <v>44416</v>
      </c>
      <c r="H29" s="7"/>
      <c r="I29" s="7"/>
      <c r="J29" s="289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9">
        <f t="shared" si="4"/>
        <v>11642</v>
      </c>
      <c r="R29" s="6"/>
      <c r="S29" s="7">
        <f>5489+1232+277</f>
        <v>6998</v>
      </c>
      <c r="T29" s="6"/>
      <c r="U29" s="288">
        <f t="shared" si="5"/>
        <v>3.7972348229982855E-2</v>
      </c>
      <c r="W29">
        <f t="shared" si="0"/>
        <v>19</v>
      </c>
      <c r="Z29" s="1"/>
      <c r="AA29" s="191"/>
      <c r="AB29" s="170" t="s">
        <v>52</v>
      </c>
      <c r="AC29" s="170"/>
      <c r="AD29" s="170">
        <f>+I74</f>
        <v>38116</v>
      </c>
      <c r="AE29" s="170"/>
      <c r="AF29" s="201">
        <v>1069</v>
      </c>
      <c r="AG29" s="170"/>
      <c r="AH29" s="192">
        <f>+AD29/AD$31</f>
        <v>6.1007172136067316E-2</v>
      </c>
      <c r="AI29" s="192"/>
      <c r="AJ29" s="170">
        <f>+AF29*AH29</f>
        <v>65.216667013455961</v>
      </c>
      <c r="AK29" s="193"/>
      <c r="AL29" s="118"/>
      <c r="AM29" s="90"/>
      <c r="AN29" s="90"/>
      <c r="AO29" s="118"/>
    </row>
    <row r="30" spans="3:41" x14ac:dyDescent="0.3">
      <c r="C30" s="172">
        <f t="shared" si="1"/>
        <v>43929</v>
      </c>
      <c r="E30" s="286">
        <v>151069</v>
      </c>
      <c r="F30" s="7"/>
      <c r="G30" s="7">
        <f>47437</f>
        <v>47437</v>
      </c>
      <c r="H30" s="7"/>
      <c r="I30" s="7">
        <v>8781</v>
      </c>
      <c r="J30" s="289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9">
        <f t="shared" si="4"/>
        <v>22995</v>
      </c>
      <c r="R30" s="6"/>
      <c r="S30" s="7">
        <f>6268+1504+335</f>
        <v>8107</v>
      </c>
      <c r="T30" s="6"/>
      <c r="U30" s="288">
        <f t="shared" si="5"/>
        <v>3.9110026195564605E-2</v>
      </c>
      <c r="W30">
        <f t="shared" si="0"/>
        <v>20</v>
      </c>
      <c r="Z30" s="1"/>
      <c r="AA30" s="187"/>
      <c r="AB30" s="170" t="s">
        <v>107</v>
      </c>
      <c r="AC30" s="282"/>
      <c r="AD30" s="170">
        <f>+AF17</f>
        <v>87052</v>
      </c>
      <c r="AE30" s="282"/>
      <c r="AF30" s="170">
        <f>+AH17</f>
        <v>1263</v>
      </c>
      <c r="AG30" s="282"/>
      <c r="AH30" s="192">
        <f>+AD30/AD$31</f>
        <v>0.13933246796067089</v>
      </c>
      <c r="AI30" s="282"/>
      <c r="AJ30" s="170">
        <f>+AF30*AH30</f>
        <v>175.97690703432733</v>
      </c>
      <c r="AK30" s="193"/>
      <c r="AL30" s="118"/>
      <c r="AM30" s="90"/>
      <c r="AN30" s="90"/>
      <c r="AO30" s="118"/>
    </row>
    <row r="31" spans="3:41" ht="15" thickBot="1" x14ac:dyDescent="0.35">
      <c r="C31" s="172">
        <f t="shared" si="1"/>
        <v>43930</v>
      </c>
      <c r="E31" s="286">
        <v>161790</v>
      </c>
      <c r="F31" s="7"/>
      <c r="G31" s="7">
        <f>51027</f>
        <v>51027</v>
      </c>
      <c r="H31" s="7"/>
      <c r="I31" s="7">
        <v>9784</v>
      </c>
      <c r="J31" s="289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9">
        <f t="shared" si="4"/>
        <v>15314</v>
      </c>
      <c r="R31" s="6"/>
      <c r="S31" s="7">
        <f>7067+1209+380</f>
        <v>8656</v>
      </c>
      <c r="T31" s="6"/>
      <c r="U31" s="288">
        <f t="shared" si="5"/>
        <v>3.8885719291467696E-2</v>
      </c>
      <c r="W31">
        <f t="shared" si="0"/>
        <v>21</v>
      </c>
      <c r="Z31" s="1"/>
      <c r="AA31" s="191"/>
      <c r="AB31" s="170"/>
      <c r="AC31" s="170"/>
      <c r="AD31" s="194">
        <f>SUM(AD27:AD30)</f>
        <v>624779</v>
      </c>
      <c r="AE31" s="170"/>
      <c r="AF31" s="170"/>
      <c r="AG31" s="170"/>
      <c r="AH31" s="195">
        <f>SUM(AH27:AH30)</f>
        <v>1</v>
      </c>
      <c r="AI31" s="192"/>
      <c r="AJ31" s="194">
        <f>SUM(AJ27:AJ30)</f>
        <v>1652.8744820168411</v>
      </c>
      <c r="AK31" s="193"/>
      <c r="AL31" s="118"/>
      <c r="AM31" s="90"/>
      <c r="AN31" s="90"/>
      <c r="AO31" s="118"/>
    </row>
    <row r="32" spans="3:41" ht="15.6" thickTop="1" thickBot="1" x14ac:dyDescent="0.35">
      <c r="C32" s="172">
        <f t="shared" si="1"/>
        <v>43931</v>
      </c>
      <c r="E32" s="286">
        <v>174481</v>
      </c>
      <c r="F32" s="7"/>
      <c r="G32" s="7">
        <f>54588</f>
        <v>54588</v>
      </c>
      <c r="H32" s="7"/>
      <c r="I32" s="7">
        <v>10538</v>
      </c>
      <c r="J32" s="289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9">
        <f t="shared" si="4"/>
        <v>17006</v>
      </c>
      <c r="R32" s="6"/>
      <c r="S32" s="7">
        <f>7884+1932+448</f>
        <v>10264</v>
      </c>
      <c r="T32" s="6"/>
      <c r="U32" s="288">
        <f t="shared" si="5"/>
        <v>4.2836811946228619E-2</v>
      </c>
      <c r="W32">
        <f t="shared" si="0"/>
        <v>22</v>
      </c>
      <c r="Z32" s="1"/>
      <c r="AA32" s="196"/>
      <c r="AB32" s="197"/>
      <c r="AC32" s="197"/>
      <c r="AD32" s="197"/>
      <c r="AE32" s="197"/>
      <c r="AF32" s="197"/>
      <c r="AG32" s="197"/>
      <c r="AH32" s="198"/>
      <c r="AI32" s="198"/>
      <c r="AJ32" s="199"/>
      <c r="AK32" s="200"/>
      <c r="AL32" s="118"/>
      <c r="AM32" s="90"/>
      <c r="AN32" s="90"/>
      <c r="AO32" s="118"/>
    </row>
    <row r="33" spans="3:40" x14ac:dyDescent="0.3">
      <c r="C33" s="172">
        <f t="shared" si="1"/>
        <v>43932</v>
      </c>
      <c r="E33" s="286">
        <v>181825</v>
      </c>
      <c r="F33" s="7"/>
      <c r="G33" s="7">
        <f>58151</f>
        <v>58151</v>
      </c>
      <c r="H33" s="7"/>
      <c r="I33" s="7">
        <v>11510</v>
      </c>
      <c r="J33" s="289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9">
        <f t="shared" si="4"/>
        <v>11879</v>
      </c>
      <c r="R33" s="6"/>
      <c r="S33" s="7">
        <f>8650+2183+494</f>
        <v>11327</v>
      </c>
      <c r="T33" s="6"/>
      <c r="U33" s="288">
        <f t="shared" si="5"/>
        <v>4.5040280572278379E-2</v>
      </c>
      <c r="W33">
        <f t="shared" si="0"/>
        <v>23</v>
      </c>
    </row>
    <row r="34" spans="3:40" x14ac:dyDescent="0.3">
      <c r="C34" s="172">
        <f t="shared" si="1"/>
        <v>43933</v>
      </c>
      <c r="E34" s="286">
        <v>189033</v>
      </c>
      <c r="F34" s="7"/>
      <c r="G34" s="7">
        <f>61850</f>
        <v>61850</v>
      </c>
      <c r="H34" s="7"/>
      <c r="I34" s="7">
        <v>12035</v>
      </c>
      <c r="J34" s="289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9">
        <f t="shared" si="4"/>
        <v>11432</v>
      </c>
      <c r="R34" s="6"/>
      <c r="S34" s="7">
        <f>9385+2350+554</f>
        <v>12289</v>
      </c>
      <c r="T34" s="6"/>
      <c r="U34" s="288">
        <f t="shared" si="5"/>
        <v>4.674080892141276E-2</v>
      </c>
      <c r="W34">
        <f t="shared" si="0"/>
        <v>24</v>
      </c>
    </row>
    <row r="35" spans="3:40" ht="15" thickBot="1" x14ac:dyDescent="0.35">
      <c r="C35" s="172">
        <f t="shared" si="1"/>
        <v>43934</v>
      </c>
      <c r="E35" s="286">
        <v>195749</v>
      </c>
      <c r="F35" s="7"/>
      <c r="G35" s="7">
        <f>64584</f>
        <v>64584</v>
      </c>
      <c r="H35" s="7"/>
      <c r="I35" s="7">
        <v>13381</v>
      </c>
      <c r="J35" s="289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9">
        <f t="shared" si="4"/>
        <v>10796</v>
      </c>
      <c r="R35" s="6"/>
      <c r="S35" s="7">
        <f>10058+2443+602</f>
        <v>13103</v>
      </c>
      <c r="T35" s="6"/>
      <c r="U35" s="288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2">
        <f t="shared" si="1"/>
        <v>43935</v>
      </c>
      <c r="E36" s="286">
        <v>203020</v>
      </c>
      <c r="F36" s="7"/>
      <c r="G36" s="7">
        <f>68824</f>
        <v>68824</v>
      </c>
      <c r="H36" s="7"/>
      <c r="I36" s="7">
        <v>13989</v>
      </c>
      <c r="J36" s="289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9">
        <f t="shared" si="4"/>
        <v>12119</v>
      </c>
      <c r="R36" s="6"/>
      <c r="S36" s="7">
        <f>10842+2805+671+3778</f>
        <v>18096</v>
      </c>
      <c r="T36" s="6"/>
      <c r="U36" s="288">
        <f t="shared" si="5"/>
        <v>6.3309694821801543E-2</v>
      </c>
      <c r="W36">
        <f t="shared" si="0"/>
        <v>26</v>
      </c>
      <c r="Z36" s="1"/>
      <c r="AA36" s="513" t="s">
        <v>31</v>
      </c>
      <c r="AB36" s="514"/>
      <c r="AC36" s="514"/>
      <c r="AD36" s="514"/>
      <c r="AE36" s="514"/>
      <c r="AF36" s="514"/>
      <c r="AG36" s="514"/>
      <c r="AH36" s="514"/>
      <c r="AI36" s="515"/>
      <c r="AJ36" s="155"/>
      <c r="AK36" s="155"/>
      <c r="AL36" s="155"/>
      <c r="AM36" s="95"/>
      <c r="AN36" s="95"/>
    </row>
    <row r="37" spans="3:40" x14ac:dyDescent="0.3">
      <c r="C37" s="172">
        <f t="shared" si="1"/>
        <v>43936</v>
      </c>
      <c r="E37" s="286">
        <v>214639</v>
      </c>
      <c r="F37" s="7"/>
      <c r="G37" s="7">
        <f>71030</f>
        <v>71030</v>
      </c>
      <c r="H37" s="7"/>
      <c r="I37" s="7">
        <v>14755</v>
      </c>
      <c r="J37" s="289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9">
        <f t="shared" si="4"/>
        <v>14591</v>
      </c>
      <c r="R37" s="6"/>
      <c r="S37" s="7">
        <f>11620+3156+868-145</f>
        <v>15499</v>
      </c>
      <c r="T37" s="6"/>
      <c r="U37" s="288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8" t="s">
        <v>30</v>
      </c>
      <c r="AG37" s="166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2">
        <f t="shared" si="1"/>
        <v>43937</v>
      </c>
      <c r="E38" s="286">
        <v>223691</v>
      </c>
      <c r="F38" s="7"/>
      <c r="G38" s="7">
        <f>75317</f>
        <v>75317</v>
      </c>
      <c r="H38" s="7"/>
      <c r="I38" s="7">
        <v>15884</v>
      </c>
      <c r="J38" s="289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9">
        <f t="shared" si="4"/>
        <v>14468</v>
      </c>
      <c r="R38" s="6"/>
      <c r="S38" s="7">
        <f>14832+3518+446</f>
        <v>18796</v>
      </c>
      <c r="T38" s="6"/>
      <c r="U38" s="288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7">
        <v>20100000</v>
      </c>
      <c r="AG38" s="166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2">
        <f t="shared" si="1"/>
        <v>43938</v>
      </c>
      <c r="E39" s="286">
        <v>230597</v>
      </c>
      <c r="F39" s="7"/>
      <c r="G39" s="7">
        <f>78467</f>
        <v>78467</v>
      </c>
      <c r="H39" s="7"/>
      <c r="I39" s="7">
        <v>16809</v>
      </c>
      <c r="J39" s="289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9">
        <f t="shared" si="4"/>
        <v>10981</v>
      </c>
      <c r="R39" s="6"/>
      <c r="S39" s="7">
        <f>17131+3840+1036</f>
        <v>22007</v>
      </c>
      <c r="T39" s="6"/>
      <c r="U39" s="288">
        <f t="shared" si="5"/>
        <v>6.7532443620674315E-2</v>
      </c>
      <c r="W39">
        <f t="shared" si="0"/>
        <v>29</v>
      </c>
      <c r="Z39" s="75"/>
      <c r="AA39" s="91"/>
      <c r="AB39" s="102" t="s">
        <v>59</v>
      </c>
      <c r="AC39" s="102"/>
      <c r="AD39" s="102"/>
      <c r="AE39" s="102"/>
      <c r="AF39" s="166">
        <v>4900000</v>
      </c>
      <c r="AG39" s="166"/>
      <c r="AH39" s="100">
        <f>+AF39/AF$43</f>
        <v>1.4848484848484849E-2</v>
      </c>
      <c r="AI39" s="179"/>
      <c r="AJ39" s="177"/>
      <c r="AK39" s="177"/>
      <c r="AL39" s="110"/>
      <c r="AM39" s="108"/>
      <c r="AN39" s="108"/>
    </row>
    <row r="40" spans="3:40" x14ac:dyDescent="0.3">
      <c r="C40" s="336">
        <f t="shared" si="1"/>
        <v>43939</v>
      </c>
      <c r="D40" s="110"/>
      <c r="E40" s="286">
        <v>238767</v>
      </c>
      <c r="F40" s="7"/>
      <c r="G40" s="7">
        <f>81420</f>
        <v>81420</v>
      </c>
      <c r="H40" s="7"/>
      <c r="I40" s="7">
        <v>17550</v>
      </c>
      <c r="J40" s="289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9">
        <f t="shared" si="4"/>
        <v>11864</v>
      </c>
      <c r="R40" s="6"/>
      <c r="S40" s="7">
        <f>17671+4070+1086</f>
        <v>22827</v>
      </c>
      <c r="T40" s="6"/>
      <c r="U40" s="288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93</v>
      </c>
      <c r="AC40" s="102"/>
      <c r="AD40" s="102"/>
      <c r="AE40" s="102"/>
      <c r="AF40" s="166">
        <v>6000000</v>
      </c>
      <c r="AG40" s="166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2">
        <f t="shared" si="1"/>
        <v>43940</v>
      </c>
      <c r="E41" s="286">
        <v>242570</v>
      </c>
      <c r="F41" s="7"/>
      <c r="G41" s="7">
        <f>85301</f>
        <v>85301</v>
      </c>
      <c r="H41" s="7"/>
      <c r="I41" s="7">
        <v>17550</v>
      </c>
      <c r="J41" s="289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9">
        <f t="shared" si="4"/>
        <v>7684</v>
      </c>
      <c r="R41" s="6"/>
      <c r="S41" s="7">
        <f>17428+4362+1086</f>
        <v>22876</v>
      </c>
      <c r="T41" s="6"/>
      <c r="U41" s="288">
        <f t="shared" si="5"/>
        <v>6.6226430935003952E-2</v>
      </c>
      <c r="W41">
        <f t="shared" si="0"/>
        <v>31</v>
      </c>
      <c r="Z41" s="75"/>
      <c r="AA41" s="91"/>
      <c r="AB41" s="166" t="s">
        <v>33</v>
      </c>
      <c r="AC41" s="166"/>
      <c r="AD41" s="166"/>
      <c r="AE41" s="166"/>
      <c r="AF41" s="165">
        <f>SUM(AF38:AG40)</f>
        <v>31000000</v>
      </c>
      <c r="AG41" s="166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2">
        <f t="shared" si="1"/>
        <v>43941</v>
      </c>
      <c r="E42" s="286">
        <v>253060</v>
      </c>
      <c r="F42" s="7"/>
      <c r="G42" s="7">
        <f>88722</f>
        <v>88722</v>
      </c>
      <c r="H42" s="7"/>
      <c r="I42" s="7">
        <v>19815</v>
      </c>
      <c r="J42" s="289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9">
        <f t="shared" si="4"/>
        <v>16176</v>
      </c>
      <c r="R42" s="6"/>
      <c r="S42" s="7">
        <f>18611+4496+1331</f>
        <v>24438</v>
      </c>
      <c r="T42" s="6"/>
      <c r="U42" s="288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6">
        <v>258361</v>
      </c>
      <c r="F43" s="7"/>
      <c r="G43" s="7">
        <f>92387</f>
        <v>92387</v>
      </c>
      <c r="H43" s="7"/>
      <c r="I43" s="7">
        <v>20360</v>
      </c>
      <c r="J43" s="289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9">
        <f t="shared" si="4"/>
        <v>9511</v>
      </c>
      <c r="R43" s="6"/>
      <c r="S43" s="7">
        <f>18821+4520+1423</f>
        <v>24764</v>
      </c>
      <c r="T43" s="6"/>
      <c r="U43" s="288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5">
        <v>330000000</v>
      </c>
      <c r="AG43" s="166"/>
      <c r="AH43" s="175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6">
        <v>263292</v>
      </c>
      <c r="F44" s="7"/>
      <c r="G44" s="7">
        <f>95418</f>
        <v>95418</v>
      </c>
      <c r="H44" s="7"/>
      <c r="I44" s="7">
        <v>22469</v>
      </c>
      <c r="J44" s="289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9">
        <f t="shared" si="4"/>
        <v>10071</v>
      </c>
      <c r="R44" s="6"/>
      <c r="S44" s="7">
        <f>19413+5129+1544</f>
        <v>26086</v>
      </c>
      <c r="T44" s="6"/>
      <c r="U44" s="288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80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6">
        <v>271145</v>
      </c>
      <c r="F45" s="7"/>
      <c r="G45" s="7">
        <f>99989</f>
        <v>99989</v>
      </c>
      <c r="H45" s="7"/>
      <c r="I45" s="7">
        <v>23128</v>
      </c>
      <c r="J45" s="289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9">
        <f t="shared" si="4"/>
        <v>13083</v>
      </c>
      <c r="R45" s="6"/>
      <c r="S45" s="7">
        <f>20971+5426+1637</f>
        <v>28034</v>
      </c>
      <c r="T45" s="6"/>
      <c r="U45" s="288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6">
        <v>271590</v>
      </c>
      <c r="F46" s="7"/>
      <c r="G46" s="7">
        <f>100025</f>
        <v>100025</v>
      </c>
      <c r="H46" s="7"/>
      <c r="I46" s="7">
        <v>23936</v>
      </c>
      <c r="J46" s="289"/>
      <c r="K46" s="7">
        <f t="shared" si="6"/>
        <v>395551</v>
      </c>
      <c r="L46" s="6"/>
      <c r="M46" s="29">
        <f t="shared" si="7"/>
        <v>3.2693995363489254E-3</v>
      </c>
      <c r="N46" s="29"/>
      <c r="O46" s="29"/>
      <c r="P46" s="29"/>
      <c r="Q46" s="379">
        <f t="shared" si="4"/>
        <v>1289</v>
      </c>
      <c r="R46" s="6"/>
      <c r="S46" s="7">
        <f>21349+5426+1767</f>
        <v>28542</v>
      </c>
      <c r="T46" s="6"/>
      <c r="U46" s="288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6">
        <v>282143</v>
      </c>
      <c r="F47" s="7"/>
      <c r="G47" s="7">
        <f>105498</f>
        <v>105498</v>
      </c>
      <c r="H47" s="7"/>
      <c r="I47" s="7">
        <v>24583</v>
      </c>
      <c r="J47" s="289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9">
        <f t="shared" si="4"/>
        <v>16673</v>
      </c>
      <c r="R47" s="6"/>
      <c r="S47" s="7">
        <f>22009+5914+1865</f>
        <v>29788</v>
      </c>
      <c r="T47" s="6"/>
      <c r="U47" s="288">
        <f t="shared" si="5"/>
        <v>7.2261682968483149E-2</v>
      </c>
      <c r="W47">
        <f t="shared" si="0"/>
        <v>37</v>
      </c>
    </row>
    <row r="48" spans="3:40" x14ac:dyDescent="0.3">
      <c r="C48" s="173">
        <f t="shared" si="1"/>
        <v>43947</v>
      </c>
      <c r="E48" s="286">
        <v>288045</v>
      </c>
      <c r="F48" s="7"/>
      <c r="G48" s="7">
        <f>109038</f>
        <v>109038</v>
      </c>
      <c r="H48" s="7"/>
      <c r="I48" s="7">
        <v>25269</v>
      </c>
      <c r="J48" s="289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9">
        <f t="shared" si="4"/>
        <v>10128</v>
      </c>
      <c r="R48" s="6"/>
      <c r="S48" s="7">
        <f>22269+5938+1924</f>
        <v>30131</v>
      </c>
      <c r="T48" s="6"/>
      <c r="U48" s="288">
        <f t="shared" si="5"/>
        <v>7.134096677652764E-2</v>
      </c>
      <c r="W48">
        <f t="shared" si="0"/>
        <v>38</v>
      </c>
      <c r="AF48" s="56"/>
    </row>
    <row r="49" spans="3:32" x14ac:dyDescent="0.3">
      <c r="C49" s="395">
        <f t="shared" si="1"/>
        <v>43948</v>
      </c>
      <c r="E49" s="286">
        <v>291996</v>
      </c>
      <c r="F49" s="7"/>
      <c r="G49" s="7">
        <f>111188</f>
        <v>111188</v>
      </c>
      <c r="H49" s="7"/>
      <c r="I49" s="7">
        <v>25269</v>
      </c>
      <c r="J49" s="289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9">
        <f t="shared" si="4"/>
        <v>6101</v>
      </c>
      <c r="R49" s="6"/>
      <c r="S49" s="7">
        <f>22668+6044+1924</f>
        <v>30636</v>
      </c>
      <c r="T49" s="6"/>
      <c r="U49" s="288">
        <f t="shared" si="5"/>
        <v>7.1503758872034973E-2</v>
      </c>
      <c r="W49">
        <f t="shared" si="0"/>
        <v>39</v>
      </c>
    </row>
    <row r="50" spans="3:32" x14ac:dyDescent="0.3">
      <c r="C50" s="172">
        <f t="shared" si="1"/>
        <v>43949</v>
      </c>
      <c r="E50" s="286">
        <v>295106</v>
      </c>
      <c r="F50" s="7"/>
      <c r="G50" s="7">
        <f>113856</f>
        <v>113856</v>
      </c>
      <c r="H50" s="7"/>
      <c r="I50" s="7">
        <v>26312</v>
      </c>
      <c r="J50" s="289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9">
        <f t="shared" si="4"/>
        <v>6821</v>
      </c>
      <c r="R50" s="6"/>
      <c r="S50" s="7">
        <f>22912+6442+2087</f>
        <v>31441</v>
      </c>
      <c r="T50" s="6"/>
      <c r="U50" s="288">
        <f t="shared" si="5"/>
        <v>7.223266264467898E-2</v>
      </c>
      <c r="W50">
        <f t="shared" si="0"/>
        <v>40</v>
      </c>
      <c r="AF50" s="275"/>
    </row>
    <row r="51" spans="3:32" x14ac:dyDescent="0.3">
      <c r="C51" s="172">
        <f t="shared" si="1"/>
        <v>43950</v>
      </c>
      <c r="E51" s="286">
        <v>299691</v>
      </c>
      <c r="F51" s="7"/>
      <c r="G51" s="7">
        <f>116365</f>
        <v>116365</v>
      </c>
      <c r="H51" s="7"/>
      <c r="I51" s="7">
        <v>26751</v>
      </c>
      <c r="J51" s="289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9">
        <f t="shared" si="4"/>
        <v>7533</v>
      </c>
      <c r="R51" s="6"/>
      <c r="S51" s="7">
        <f>23477+6711+2169</f>
        <v>32357</v>
      </c>
      <c r="T51" s="6"/>
      <c r="U51" s="288">
        <f t="shared" si="5"/>
        <v>7.3072467237419461E-2</v>
      </c>
      <c r="W51">
        <f t="shared" si="0"/>
        <v>41</v>
      </c>
    </row>
    <row r="52" spans="3:32" x14ac:dyDescent="0.3">
      <c r="C52" s="172">
        <f t="shared" si="1"/>
        <v>43951</v>
      </c>
      <c r="E52" s="286">
        <v>304372</v>
      </c>
      <c r="F52" s="7"/>
      <c r="G52" s="7">
        <v>118652</v>
      </c>
      <c r="H52" s="7"/>
      <c r="I52" s="7">
        <v>27700</v>
      </c>
      <c r="J52" s="289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9">
        <f t="shared" si="4"/>
        <v>7917</v>
      </c>
      <c r="R52" s="6"/>
      <c r="S52" s="7">
        <f>23545+7228+2257</f>
        <v>33030</v>
      </c>
      <c r="T52" s="6"/>
      <c r="U52" s="288">
        <f t="shared" si="5"/>
        <v>7.3282097247983249E-2</v>
      </c>
      <c r="W52">
        <f t="shared" si="0"/>
        <v>42</v>
      </c>
    </row>
    <row r="53" spans="3:32" x14ac:dyDescent="0.3">
      <c r="C53" s="172">
        <f t="shared" si="1"/>
        <v>43952</v>
      </c>
      <c r="E53" s="286">
        <v>308314</v>
      </c>
      <c r="F53" s="7"/>
      <c r="G53" s="7">
        <v>121190</v>
      </c>
      <c r="H53" s="7"/>
      <c r="I53" s="7">
        <v>28855</v>
      </c>
      <c r="J53" s="289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9">
        <f t="shared" si="4"/>
        <v>7635</v>
      </c>
      <c r="R53" s="6"/>
      <c r="S53" s="7">
        <f>23981+7538+2341</f>
        <v>33860</v>
      </c>
      <c r="T53" s="6"/>
      <c r="U53" s="288">
        <f t="shared" ref="U53:U65" si="10">+S53/K53</f>
        <v>7.3872226791663304E-2</v>
      </c>
      <c r="W53">
        <f t="shared" si="0"/>
        <v>43</v>
      </c>
    </row>
    <row r="54" spans="3:32" x14ac:dyDescent="0.3">
      <c r="C54" s="172">
        <f t="shared" si="1"/>
        <v>43953</v>
      </c>
      <c r="E54" s="286">
        <v>312977</v>
      </c>
      <c r="F54" s="7"/>
      <c r="G54" s="7">
        <v>123717</v>
      </c>
      <c r="H54" s="7"/>
      <c r="I54" s="7">
        <v>29346</v>
      </c>
      <c r="J54" s="289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9">
        <f t="shared" si="4"/>
        <v>7681</v>
      </c>
      <c r="R54" s="6"/>
      <c r="S54" s="7">
        <f>24198+7742+2437</f>
        <v>34377</v>
      </c>
      <c r="T54" s="6"/>
      <c r="U54" s="288">
        <f t="shared" si="10"/>
        <v>7.3764054587589042E-2</v>
      </c>
      <c r="W54">
        <f t="shared" si="0"/>
        <v>44</v>
      </c>
    </row>
    <row r="55" spans="3:32" x14ac:dyDescent="0.3">
      <c r="C55" s="172">
        <f t="shared" si="1"/>
        <v>43954</v>
      </c>
      <c r="E55" s="286">
        <v>316415</v>
      </c>
      <c r="F55" s="7"/>
      <c r="G55" s="7">
        <v>126744</v>
      </c>
      <c r="H55" s="7"/>
      <c r="I55" s="7">
        <v>29087</v>
      </c>
      <c r="J55" s="289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9">
        <f t="shared" si="4"/>
        <v>6206</v>
      </c>
      <c r="R55" s="6"/>
      <c r="S55" s="7">
        <f>24708+7871+2436</f>
        <v>35015</v>
      </c>
      <c r="T55" s="6"/>
      <c r="U55" s="288">
        <f t="shared" si="10"/>
        <v>7.4145678311727359E-2</v>
      </c>
      <c r="W55">
        <f t="shared" si="0"/>
        <v>45</v>
      </c>
    </row>
    <row r="56" spans="3:32" x14ac:dyDescent="0.3">
      <c r="C56" s="395">
        <f t="shared" si="1"/>
        <v>43955</v>
      </c>
      <c r="E56" s="286">
        <v>318953</v>
      </c>
      <c r="F56" s="7"/>
      <c r="G56" s="7">
        <v>128269</v>
      </c>
      <c r="H56" s="7"/>
      <c r="I56" s="7">
        <v>29973</v>
      </c>
      <c r="J56" s="289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9">
        <f t="shared" si="4"/>
        <v>4949</v>
      </c>
      <c r="R56" s="6"/>
      <c r="S56" s="7">
        <f>24999+7910+2556</f>
        <v>35465</v>
      </c>
      <c r="T56" s="6"/>
      <c r="U56" s="288">
        <f t="shared" si="10"/>
        <v>7.4319722545290706E-2</v>
      </c>
      <c r="W56">
        <f t="shared" si="0"/>
        <v>46</v>
      </c>
    </row>
    <row r="57" spans="3:32" x14ac:dyDescent="0.3">
      <c r="C57" s="172">
        <f t="shared" si="1"/>
        <v>43956</v>
      </c>
      <c r="E57" s="286">
        <v>321192</v>
      </c>
      <c r="F57" s="7"/>
      <c r="G57" s="7">
        <v>130593</v>
      </c>
      <c r="H57" s="7"/>
      <c r="I57" s="7">
        <v>30621</v>
      </c>
      <c r="J57" s="289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9">
        <f t="shared" si="4"/>
        <v>5211</v>
      </c>
      <c r="R57" s="6"/>
      <c r="S57" s="7">
        <f>25124+8244+2633</f>
        <v>36001</v>
      </c>
      <c r="T57" s="6"/>
      <c r="U57" s="288">
        <f t="shared" si="10"/>
        <v>7.4628010431047706E-2</v>
      </c>
      <c r="W57">
        <f t="shared" si="0"/>
        <v>47</v>
      </c>
    </row>
    <row r="58" spans="3:32" x14ac:dyDescent="0.3">
      <c r="C58" s="172">
        <f t="shared" si="1"/>
        <v>43957</v>
      </c>
      <c r="E58" s="286">
        <v>323978</v>
      </c>
      <c r="F58" s="7"/>
      <c r="G58" s="7">
        <v>131890</v>
      </c>
      <c r="H58" s="7"/>
      <c r="I58" s="7">
        <v>30995</v>
      </c>
      <c r="J58" s="289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9">
        <f t="shared" si="4"/>
        <v>4457</v>
      </c>
      <c r="R58" s="6"/>
      <c r="S58" s="7">
        <f>25346+8549+2718</f>
        <v>36613</v>
      </c>
      <c r="T58" s="6"/>
      <c r="U58" s="288">
        <f t="shared" si="10"/>
        <v>7.5201853498828214E-2</v>
      </c>
      <c r="W58">
        <f t="shared" si="0"/>
        <v>48</v>
      </c>
    </row>
    <row r="59" spans="3:32" x14ac:dyDescent="0.3">
      <c r="C59" s="172">
        <f t="shared" si="1"/>
        <v>43958</v>
      </c>
      <c r="E59" s="286">
        <v>327469</v>
      </c>
      <c r="F59" s="7"/>
      <c r="G59" s="7">
        <v>133991</v>
      </c>
      <c r="H59" s="7"/>
      <c r="I59" s="7">
        <v>31784</v>
      </c>
      <c r="J59" s="289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9">
        <f t="shared" si="4"/>
        <v>6381</v>
      </c>
      <c r="R59" s="6"/>
      <c r="S59" s="7">
        <f>26144+8807+2797</f>
        <v>37748</v>
      </c>
      <c r="T59" s="6"/>
      <c r="U59" s="288">
        <f t="shared" si="10"/>
        <v>7.6530074364817416E-2</v>
      </c>
      <c r="W59">
        <f t="shared" si="0"/>
        <v>49</v>
      </c>
    </row>
    <row r="60" spans="3:32" x14ac:dyDescent="0.3">
      <c r="C60" s="172">
        <f t="shared" si="1"/>
        <v>43959</v>
      </c>
      <c r="E60" s="286">
        <v>330407</v>
      </c>
      <c r="F60" s="7"/>
      <c r="G60" s="7">
        <v>135840</v>
      </c>
      <c r="H60" s="7"/>
      <c r="I60" s="7">
        <v>32411</v>
      </c>
      <c r="J60" s="289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9">
        <f t="shared" si="4"/>
        <v>5414</v>
      </c>
      <c r="R60" s="6"/>
      <c r="S60" s="7">
        <f>26243+8960+2874</f>
        <v>38077</v>
      </c>
      <c r="T60" s="6"/>
      <c r="U60" s="288">
        <f t="shared" si="10"/>
        <v>7.6358947414861489E-2</v>
      </c>
      <c r="W60">
        <f t="shared" si="0"/>
        <v>50</v>
      </c>
    </row>
    <row r="61" spans="3:32" x14ac:dyDescent="0.3">
      <c r="C61" s="172">
        <f t="shared" si="1"/>
        <v>43960</v>
      </c>
      <c r="E61" s="286">
        <v>333122</v>
      </c>
      <c r="F61" s="7"/>
      <c r="G61" s="7">
        <v>137397</v>
      </c>
      <c r="H61" s="7"/>
      <c r="I61" s="7">
        <v>32984</v>
      </c>
      <c r="J61" s="289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9">
        <f t="shared" si="4"/>
        <v>4845</v>
      </c>
      <c r="R61" s="6"/>
      <c r="S61" s="7">
        <f>26563+9116+2932</f>
        <v>38611</v>
      </c>
      <c r="T61" s="6"/>
      <c r="U61" s="288">
        <f t="shared" si="10"/>
        <v>7.6684746664865952E-2</v>
      </c>
      <c r="W61">
        <f t="shared" si="0"/>
        <v>51</v>
      </c>
    </row>
    <row r="62" spans="3:32" x14ac:dyDescent="0.3">
      <c r="C62" s="395">
        <f t="shared" si="1"/>
        <v>43961</v>
      </c>
      <c r="E62" s="286">
        <v>335395</v>
      </c>
      <c r="F62" s="7"/>
      <c r="G62" s="7">
        <v>138754</v>
      </c>
      <c r="H62" s="7"/>
      <c r="I62" s="7">
        <v>33554</v>
      </c>
      <c r="J62" s="289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9">
        <f>+K62-K61</f>
        <v>4200</v>
      </c>
      <c r="R62" s="6"/>
      <c r="S62" s="7">
        <f>26641+9256+2967</f>
        <v>38864</v>
      </c>
      <c r="T62" s="6"/>
      <c r="U62" s="288">
        <f t="shared" si="10"/>
        <v>7.6548690868480193E-2</v>
      </c>
      <c r="W62">
        <f t="shared" si="0"/>
        <v>52</v>
      </c>
    </row>
    <row r="63" spans="3:32" x14ac:dyDescent="0.3">
      <c r="C63" s="172">
        <f t="shared" si="1"/>
        <v>43962</v>
      </c>
      <c r="E63" s="286">
        <v>337055</v>
      </c>
      <c r="F63" s="7"/>
      <c r="G63" s="7">
        <v>140206</v>
      </c>
      <c r="H63" s="7"/>
      <c r="I63" s="7">
        <v>33765</v>
      </c>
      <c r="J63" s="289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9">
        <f>+K63-K62</f>
        <v>3323</v>
      </c>
      <c r="R63" s="6"/>
      <c r="S63" s="7">
        <f>26721+9340+3008</f>
        <v>39069</v>
      </c>
      <c r="T63" s="6"/>
      <c r="U63" s="288">
        <f t="shared" si="10"/>
        <v>7.6452078759202069E-2</v>
      </c>
      <c r="W63">
        <f t="shared" si="0"/>
        <v>53</v>
      </c>
    </row>
    <row r="64" spans="3:32" x14ac:dyDescent="0.3">
      <c r="C64" s="172">
        <f t="shared" si="1"/>
        <v>43963</v>
      </c>
      <c r="E64" s="286">
        <v>338485</v>
      </c>
      <c r="F64" s="7"/>
      <c r="G64" s="7">
        <v>140917</v>
      </c>
      <c r="H64" s="7"/>
      <c r="I64" s="7">
        <v>34333</v>
      </c>
      <c r="J64" s="289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9">
        <f>+K64-K63</f>
        <v>2709</v>
      </c>
      <c r="R64" s="6"/>
      <c r="S64" s="7">
        <f>27284+9531+3041</f>
        <v>39856</v>
      </c>
      <c r="T64" s="6"/>
      <c r="U64" s="288">
        <f t="shared" si="10"/>
        <v>7.7580853942207553E-2</v>
      </c>
      <c r="W64">
        <f t="shared" si="0"/>
        <v>54</v>
      </c>
    </row>
    <row r="65" spans="3:23" x14ac:dyDescent="0.3">
      <c r="C65" s="172">
        <f t="shared" si="1"/>
        <v>43964</v>
      </c>
      <c r="E65" s="286">
        <v>340661</v>
      </c>
      <c r="F65" s="7"/>
      <c r="G65" s="7">
        <v>141560</v>
      </c>
      <c r="H65" s="7"/>
      <c r="I65" s="7">
        <v>34895</v>
      </c>
      <c r="J65" s="289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9">
        <f>+K65-K64</f>
        <v>3381</v>
      </c>
      <c r="R65" s="6"/>
      <c r="S65" s="7">
        <f>27477+9714+3125</f>
        <v>40316</v>
      </c>
      <c r="T65" s="6"/>
      <c r="U65" s="288">
        <f t="shared" si="10"/>
        <v>7.7963164937847607E-2</v>
      </c>
      <c r="W65">
        <f t="shared" si="0"/>
        <v>55</v>
      </c>
    </row>
    <row r="66" spans="3:23" x14ac:dyDescent="0.3">
      <c r="C66" s="172">
        <f t="shared" si="1"/>
        <v>43965</v>
      </c>
      <c r="E66" s="286">
        <v>343051</v>
      </c>
      <c r="F66" s="7"/>
      <c r="G66" s="7">
        <v>142704</v>
      </c>
      <c r="H66" s="7"/>
      <c r="I66" s="7">
        <v>35464</v>
      </c>
      <c r="J66" s="289"/>
      <c r="K66" s="7">
        <f t="shared" ref="K66" si="11">SUM(E66:I66)</f>
        <v>521219</v>
      </c>
      <c r="L66" s="6"/>
      <c r="M66" s="29">
        <f t="shared" ref="M66" si="12">+(K66-K65)/K65</f>
        <v>7.9343899627936487E-3</v>
      </c>
      <c r="N66" s="29"/>
      <c r="O66" s="29"/>
      <c r="P66" s="29"/>
      <c r="Q66" s="379">
        <f>+K66-K65</f>
        <v>4103</v>
      </c>
      <c r="R66" s="6"/>
      <c r="S66" s="7">
        <f>27607+9946+3219</f>
        <v>40772</v>
      </c>
      <c r="T66" s="6"/>
      <c r="U66" s="288">
        <f t="shared" ref="U66" si="13">+S66/K66</f>
        <v>7.8224316458149076E-2</v>
      </c>
      <c r="W66">
        <f t="shared" si="0"/>
        <v>56</v>
      </c>
    </row>
    <row r="67" spans="3:23" x14ac:dyDescent="0.3">
      <c r="C67" s="172">
        <f t="shared" si="1"/>
        <v>43966</v>
      </c>
      <c r="E67" s="286">
        <v>345813</v>
      </c>
      <c r="F67" s="7"/>
      <c r="G67" s="7">
        <v>143984</v>
      </c>
      <c r="H67" s="7"/>
      <c r="I67" s="7">
        <v>36805</v>
      </c>
      <c r="J67" s="289"/>
      <c r="K67" s="7">
        <f t="shared" ref="K67" si="14">SUM(E67:I67)</f>
        <v>526602</v>
      </c>
      <c r="L67" s="6"/>
      <c r="M67" s="29">
        <f t="shared" ref="M67" si="15">+(K67-K66)/K66</f>
        <v>1.032771253542177E-2</v>
      </c>
      <c r="N67" s="29"/>
      <c r="O67" s="29"/>
      <c r="P67" s="29"/>
      <c r="Q67" s="379">
        <f t="shared" ref="Q67:Q68" si="16">+K67-K66</f>
        <v>5383</v>
      </c>
      <c r="R67" s="6"/>
      <c r="S67" s="7">
        <f>27607+9946+3219</f>
        <v>40772</v>
      </c>
      <c r="T67" s="6"/>
      <c r="U67" s="288">
        <f t="shared" ref="U67" si="17">+S67/K67</f>
        <v>7.7424696450070454E-2</v>
      </c>
      <c r="W67">
        <f t="shared" si="0"/>
        <v>57</v>
      </c>
    </row>
    <row r="68" spans="3:23" x14ac:dyDescent="0.3">
      <c r="C68" s="172">
        <f t="shared" si="1"/>
        <v>43967</v>
      </c>
      <c r="E68" s="286">
        <v>348232</v>
      </c>
      <c r="F68" s="7"/>
      <c r="G68" s="7">
        <v>145089</v>
      </c>
      <c r="H68" s="7"/>
      <c r="I68" s="7">
        <v>36703</v>
      </c>
      <c r="J68" s="289"/>
      <c r="K68" s="7">
        <f t="shared" ref="K68" si="18">SUM(E68:I68)</f>
        <v>530024</v>
      </c>
      <c r="L68" s="6"/>
      <c r="M68" s="29">
        <f t="shared" ref="M68" si="19">+(K68-K67)/K67</f>
        <v>6.4982662428171561E-3</v>
      </c>
      <c r="N68" s="29"/>
      <c r="O68" s="29"/>
      <c r="P68" s="29"/>
      <c r="Q68" s="379">
        <f t="shared" si="16"/>
        <v>3422</v>
      </c>
      <c r="R68" s="6"/>
      <c r="S68" s="7">
        <f>28049+10261+3339</f>
        <v>41649</v>
      </c>
      <c r="T68" s="6"/>
      <c r="U68" s="288">
        <f t="shared" ref="U68" si="20">+S68/K68</f>
        <v>7.8579460552729685E-2</v>
      </c>
      <c r="W68">
        <f t="shared" si="0"/>
        <v>58</v>
      </c>
    </row>
    <row r="69" spans="3:23" x14ac:dyDescent="0.3">
      <c r="C69" s="172">
        <f t="shared" si="1"/>
        <v>43968</v>
      </c>
      <c r="E69" s="286">
        <v>350121</v>
      </c>
      <c r="F69" s="7"/>
      <c r="G69" s="7">
        <v>146504</v>
      </c>
      <c r="H69" s="7"/>
      <c r="I69" s="7">
        <v>37419</v>
      </c>
      <c r="J69" s="289"/>
      <c r="K69" s="7">
        <f t="shared" ref="K69" si="21">SUM(E69:I69)</f>
        <v>534044</v>
      </c>
      <c r="L69" s="6"/>
      <c r="M69" s="29">
        <f t="shared" ref="M69" si="22">+(K69-K68)/K68</f>
        <v>7.5845622085037659E-3</v>
      </c>
      <c r="N69" s="29"/>
      <c r="O69" s="29"/>
      <c r="P69" s="29"/>
      <c r="Q69" s="379">
        <f t="shared" ref="Q69" si="23">+K69-K68</f>
        <v>4020</v>
      </c>
      <c r="R69" s="6"/>
      <c r="S69" s="7">
        <f>28232+10363+3408</f>
        <v>42003</v>
      </c>
      <c r="T69" s="6"/>
      <c r="U69" s="288">
        <f t="shared" ref="U69" si="24">+S69/K69</f>
        <v>7.8650822778647447E-2</v>
      </c>
      <c r="W69">
        <f t="shared" si="0"/>
        <v>59</v>
      </c>
    </row>
    <row r="70" spans="3:23" x14ac:dyDescent="0.3">
      <c r="C70" s="172">
        <f t="shared" si="1"/>
        <v>43969</v>
      </c>
      <c r="E70" s="286">
        <v>351371</v>
      </c>
      <c r="F70" s="7"/>
      <c r="G70" s="7">
        <v>148240</v>
      </c>
      <c r="H70" s="7"/>
      <c r="I70" s="7">
        <v>38116</v>
      </c>
      <c r="J70" s="289"/>
      <c r="K70" s="7">
        <f t="shared" ref="K70" si="25">SUM(E70:I70)</f>
        <v>537727</v>
      </c>
      <c r="L70" s="6"/>
      <c r="M70" s="29">
        <f t="shared" ref="M70" si="26">+(K70-K69)/K69</f>
        <v>6.8964354996966541E-3</v>
      </c>
      <c r="N70" s="29"/>
      <c r="O70" s="29"/>
      <c r="P70" s="29"/>
      <c r="Q70" s="379">
        <f t="shared" ref="Q70" si="27">+K70-K69</f>
        <v>3683</v>
      </c>
      <c r="R70" s="6"/>
      <c r="S70" s="7">
        <f>28339+10439+5862</f>
        <v>44640</v>
      </c>
      <c r="T70" s="6"/>
      <c r="U70" s="288">
        <f t="shared" ref="U70" si="28">+S70/K70</f>
        <v>8.3016102966747066E-2</v>
      </c>
      <c r="W70">
        <f t="shared" si="0"/>
        <v>60</v>
      </c>
    </row>
    <row r="71" spans="3:23" x14ac:dyDescent="0.3">
      <c r="C71" s="172">
        <f t="shared" si="1"/>
        <v>43970</v>
      </c>
      <c r="E71" s="286"/>
      <c r="F71" s="7"/>
      <c r="G71" s="7"/>
      <c r="H71" s="7"/>
      <c r="I71" s="7"/>
      <c r="J71" s="289"/>
      <c r="K71" s="7"/>
      <c r="L71" s="6"/>
      <c r="M71" s="29"/>
      <c r="N71" s="29"/>
      <c r="O71" s="29"/>
      <c r="P71" s="29"/>
      <c r="Q71" s="379"/>
      <c r="R71" s="6"/>
      <c r="S71" s="7"/>
      <c r="T71" s="6"/>
      <c r="U71" s="288"/>
      <c r="W71">
        <f t="shared" si="0"/>
        <v>61</v>
      </c>
    </row>
    <row r="72" spans="3:23" ht="15" thickBot="1" x14ac:dyDescent="0.35">
      <c r="C72" s="172">
        <f t="shared" si="1"/>
        <v>43971</v>
      </c>
      <c r="E72" s="290"/>
      <c r="F72" s="291"/>
      <c r="G72" s="291"/>
      <c r="H72" s="291"/>
      <c r="I72" s="291"/>
      <c r="J72" s="291"/>
      <c r="K72" s="291"/>
      <c r="L72" s="292"/>
      <c r="M72" s="293"/>
      <c r="N72" s="293"/>
      <c r="O72" s="293"/>
      <c r="P72" s="293"/>
      <c r="Q72" s="378"/>
      <c r="R72" s="292"/>
      <c r="S72" s="292"/>
      <c r="T72" s="292"/>
      <c r="U72" s="294"/>
      <c r="W72">
        <f t="shared" si="0"/>
        <v>62</v>
      </c>
    </row>
    <row r="73" spans="3:23" x14ac:dyDescent="0.3">
      <c r="E73" s="56"/>
      <c r="F73" s="1"/>
      <c r="G73" s="56"/>
      <c r="H73" s="56"/>
      <c r="I73" s="56"/>
      <c r="J73" s="1"/>
      <c r="K73" s="56"/>
      <c r="S73" s="56"/>
    </row>
    <row r="74" spans="3:23" x14ac:dyDescent="0.3">
      <c r="C74" s="181" t="s">
        <v>83</v>
      </c>
      <c r="E74" s="56">
        <f>+E70</f>
        <v>351371</v>
      </c>
      <c r="F74" s="56">
        <f>+F52</f>
        <v>0</v>
      </c>
      <c r="G74" s="56">
        <f t="shared" ref="G74:S74" si="29">+G70</f>
        <v>148240</v>
      </c>
      <c r="H74" s="56">
        <f t="shared" si="29"/>
        <v>0</v>
      </c>
      <c r="I74" s="56">
        <f t="shared" si="29"/>
        <v>38116</v>
      </c>
      <c r="J74" s="56">
        <f t="shared" si="29"/>
        <v>0</v>
      </c>
      <c r="K74" s="56">
        <f t="shared" si="29"/>
        <v>537727</v>
      </c>
      <c r="L74" s="56">
        <f t="shared" si="29"/>
        <v>0</v>
      </c>
      <c r="M74" s="56">
        <f t="shared" si="29"/>
        <v>6.8964354996966541E-3</v>
      </c>
      <c r="N74" s="56">
        <f t="shared" si="29"/>
        <v>0</v>
      </c>
      <c r="O74" s="56">
        <f t="shared" si="29"/>
        <v>0</v>
      </c>
      <c r="P74" s="56">
        <f t="shared" si="29"/>
        <v>0</v>
      </c>
      <c r="Q74" s="56">
        <f t="shared" si="29"/>
        <v>3683</v>
      </c>
      <c r="R74" s="56">
        <f t="shared" si="29"/>
        <v>0</v>
      </c>
      <c r="S74" s="56">
        <f t="shared" si="29"/>
        <v>44640</v>
      </c>
      <c r="T74" s="56">
        <f>+T60</f>
        <v>0</v>
      </c>
    </row>
    <row r="75" spans="3:23" x14ac:dyDescent="0.3">
      <c r="E75" s="56"/>
      <c r="G75" s="56"/>
      <c r="H75" s="56"/>
      <c r="I75" s="56"/>
      <c r="J75" s="56"/>
      <c r="K75" s="56"/>
      <c r="L75" s="56"/>
      <c r="M75" s="59"/>
      <c r="N75" s="56"/>
      <c r="O75" s="56"/>
      <c r="P75" s="56"/>
      <c r="Q75" s="56"/>
      <c r="R75" s="56"/>
      <c r="S75" s="56"/>
    </row>
    <row r="76" spans="3:23" x14ac:dyDescent="0.3">
      <c r="E76" s="59"/>
      <c r="K76" s="1"/>
    </row>
    <row r="77" spans="3:23" x14ac:dyDescent="0.3">
      <c r="C77" s="123"/>
      <c r="D77" s="124"/>
      <c r="E77" s="397"/>
      <c r="F77" s="10"/>
      <c r="G77" s="10"/>
      <c r="H77" s="10"/>
      <c r="I77" s="61"/>
      <c r="J77" s="10"/>
      <c r="K77" s="10"/>
      <c r="L77" s="10"/>
      <c r="M77" s="10"/>
      <c r="N77" s="10"/>
      <c r="O77" s="10"/>
      <c r="P77" s="10"/>
      <c r="Q77" s="397"/>
      <c r="R77" s="10"/>
      <c r="S77" s="10"/>
    </row>
    <row r="78" spans="3:23" x14ac:dyDescent="0.3">
      <c r="E78" s="56"/>
      <c r="Q78" s="56"/>
    </row>
    <row r="79" spans="3:23" x14ac:dyDescent="0.3">
      <c r="Q79" s="56"/>
      <c r="S79" s="59"/>
    </row>
    <row r="82" spans="3:41" x14ac:dyDescent="0.3">
      <c r="AO82" s="1">
        <v>3797000</v>
      </c>
    </row>
    <row r="83" spans="3:41" x14ac:dyDescent="0.3">
      <c r="C83" s="1"/>
    </row>
    <row r="84" spans="3:41" x14ac:dyDescent="0.3">
      <c r="C84" s="1"/>
      <c r="AO84" s="1">
        <v>30000</v>
      </c>
    </row>
    <row r="85" spans="3:41" x14ac:dyDescent="0.3">
      <c r="C85" s="59"/>
    </row>
    <row r="86" spans="3:41" x14ac:dyDescent="0.3">
      <c r="AO86" s="279">
        <f>+AO84/AO82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B98"/>
  <sheetViews>
    <sheetView topLeftCell="A13" workbookViewId="0">
      <selection activeCell="AD16" sqref="AD16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9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2.33203125" customWidth="1"/>
    <col min="20" max="20" width="2.21875" customWidth="1"/>
    <col min="21" max="21" width="11.109375" bestFit="1" customWidth="1"/>
    <col min="22" max="22" width="1.88671875" customWidth="1"/>
    <col min="24" max="24" width="2" customWidth="1"/>
    <col min="26" max="26" width="2.33203125" customWidth="1"/>
    <col min="27" max="27" width="1.88671875" customWidth="1"/>
    <col min="28" max="28" width="2.44140625" customWidth="1"/>
  </cols>
  <sheetData>
    <row r="1" spans="2:28" ht="15.6" x14ac:dyDescent="0.3">
      <c r="B1" s="260" t="s">
        <v>5</v>
      </c>
      <c r="C1" s="260"/>
      <c r="D1" s="260"/>
    </row>
    <row r="2" spans="2:28" ht="16.2" thickBot="1" x14ac:dyDescent="0.35">
      <c r="B2" s="260" t="s">
        <v>6</v>
      </c>
      <c r="C2" s="260"/>
      <c r="D2" s="260"/>
    </row>
    <row r="3" spans="2:28" ht="16.2" thickBot="1" x14ac:dyDescent="0.35">
      <c r="B3" s="258" t="s">
        <v>13</v>
      </c>
      <c r="C3" s="258"/>
      <c r="D3" s="168"/>
      <c r="R3" s="580" t="s">
        <v>116</v>
      </c>
      <c r="S3" s="581"/>
      <c r="T3" s="581"/>
      <c r="U3" s="581"/>
      <c r="V3" s="581"/>
      <c r="W3" s="581"/>
      <c r="X3" s="581"/>
      <c r="Y3" s="581"/>
      <c r="Z3" s="581"/>
      <c r="AA3" s="581"/>
      <c r="AB3" s="582"/>
    </row>
    <row r="4" spans="2:28" ht="15.6" x14ac:dyDescent="0.3">
      <c r="B4" s="258"/>
      <c r="C4" s="258"/>
      <c r="D4" s="168"/>
      <c r="R4" s="295"/>
      <c r="S4" s="398" t="s">
        <v>80</v>
      </c>
      <c r="T4" s="6"/>
      <c r="U4" s="398" t="s">
        <v>108</v>
      </c>
      <c r="V4" s="5"/>
      <c r="W4" s="398" t="s">
        <v>109</v>
      </c>
      <c r="X4" s="5"/>
      <c r="Y4" s="398" t="s">
        <v>75</v>
      </c>
      <c r="Z4" s="6"/>
      <c r="AA4" s="296" t="s">
        <v>15</v>
      </c>
      <c r="AB4" s="297"/>
    </row>
    <row r="5" spans="2:28" ht="15.6" x14ac:dyDescent="0.3">
      <c r="B5" s="258"/>
      <c r="C5" t="s">
        <v>94</v>
      </c>
      <c r="D5" s="168"/>
      <c r="E5" t="s">
        <v>95</v>
      </c>
      <c r="R5" s="295"/>
      <c r="S5" s="6"/>
      <c r="T5" s="6"/>
      <c r="U5" s="6"/>
      <c r="V5" s="6"/>
      <c r="W5" s="6"/>
      <c r="X5" s="6"/>
      <c r="Y5" s="6"/>
      <c r="Z5" s="6"/>
      <c r="AA5" s="6"/>
      <c r="AB5" s="297"/>
    </row>
    <row r="6" spans="2:28" ht="15.6" x14ac:dyDescent="0.3">
      <c r="B6" s="258"/>
      <c r="C6" s="258"/>
      <c r="D6" s="171"/>
      <c r="E6" t="s">
        <v>96</v>
      </c>
      <c r="F6" t="s">
        <v>113</v>
      </c>
      <c r="R6" s="295"/>
      <c r="S6" s="298">
        <v>43951</v>
      </c>
      <c r="T6" s="6"/>
      <c r="U6" s="7">
        <v>427734</v>
      </c>
      <c r="V6" s="6"/>
      <c r="W6" s="44">
        <v>0.39100000000000001</v>
      </c>
      <c r="X6" s="6"/>
      <c r="Y6" s="6"/>
      <c r="Z6" s="6"/>
      <c r="AA6" s="6"/>
      <c r="AB6" s="297"/>
    </row>
    <row r="7" spans="2:28" ht="15.6" x14ac:dyDescent="0.3">
      <c r="B7" s="258"/>
      <c r="C7" s="258"/>
      <c r="D7" s="171"/>
      <c r="E7" t="s">
        <v>97</v>
      </c>
      <c r="F7" t="s">
        <v>99</v>
      </c>
      <c r="R7" s="295"/>
      <c r="S7" s="298">
        <f>+S6+1</f>
        <v>43952</v>
      </c>
      <c r="T7" s="6"/>
      <c r="U7" s="7">
        <v>432831</v>
      </c>
      <c r="V7" s="6"/>
      <c r="W7" s="44">
        <v>0.38300000000000001</v>
      </c>
      <c r="X7" s="6"/>
      <c r="Y7" s="300">
        <f t="shared" ref="Y7:Y19" si="0">+U6-U7</f>
        <v>-5097</v>
      </c>
      <c r="Z7" s="6"/>
      <c r="AA7" s="6"/>
      <c r="AB7" s="297"/>
    </row>
    <row r="8" spans="2:28" ht="15.6" x14ac:dyDescent="0.3">
      <c r="B8" s="258"/>
      <c r="C8" s="258"/>
      <c r="D8" s="171"/>
      <c r="E8" t="s">
        <v>98</v>
      </c>
      <c r="F8" t="s">
        <v>114</v>
      </c>
      <c r="R8" s="295"/>
      <c r="S8" s="298">
        <f t="shared" ref="S8:S40" si="1">+S7+1</f>
        <v>43953</v>
      </c>
      <c r="T8" s="6"/>
      <c r="U8" s="7">
        <v>433512</v>
      </c>
      <c r="V8" s="6"/>
      <c r="W8" s="44">
        <v>0.373</v>
      </c>
      <c r="X8" s="6"/>
      <c r="Y8" s="300">
        <f t="shared" si="0"/>
        <v>-681</v>
      </c>
      <c r="Z8" s="6"/>
      <c r="AA8" s="6"/>
      <c r="AB8" s="297"/>
    </row>
    <row r="9" spans="2:28" ht="15.6" x14ac:dyDescent="0.3">
      <c r="B9" s="258"/>
      <c r="C9" s="258"/>
      <c r="D9" s="171"/>
      <c r="R9" s="295"/>
      <c r="S9" s="298">
        <f t="shared" si="1"/>
        <v>43954</v>
      </c>
      <c r="T9" s="6"/>
      <c r="U9" s="7">
        <v>434345</v>
      </c>
      <c r="V9" s="6"/>
      <c r="W9" s="44">
        <v>0.36599999999999999</v>
      </c>
      <c r="X9" s="6"/>
      <c r="Y9" s="300">
        <f t="shared" si="0"/>
        <v>-833</v>
      </c>
      <c r="Z9" s="6"/>
      <c r="AA9" s="6"/>
      <c r="AB9" s="297"/>
    </row>
    <row r="10" spans="2:28" ht="15.6" x14ac:dyDescent="0.3">
      <c r="B10" s="258"/>
      <c r="C10" s="280" t="s">
        <v>100</v>
      </c>
      <c r="D10" s="171"/>
      <c r="E10" t="s">
        <v>103</v>
      </c>
      <c r="R10" s="295"/>
      <c r="S10" s="298">
        <f t="shared" si="1"/>
        <v>43955</v>
      </c>
      <c r="T10" s="6"/>
      <c r="U10" s="7">
        <v>458962</v>
      </c>
      <c r="V10" s="6"/>
      <c r="W10" s="44">
        <v>0.378</v>
      </c>
      <c r="X10" s="6"/>
      <c r="Y10" s="300">
        <f t="shared" si="0"/>
        <v>-24617</v>
      </c>
      <c r="Z10" s="6"/>
      <c r="AA10" s="6"/>
      <c r="AB10" s="297"/>
    </row>
    <row r="11" spans="2:28" ht="15.6" x14ac:dyDescent="0.3">
      <c r="B11" s="258"/>
      <c r="C11" s="258"/>
      <c r="D11" s="171"/>
      <c r="E11" t="s">
        <v>96</v>
      </c>
      <c r="F11" t="s">
        <v>101</v>
      </c>
      <c r="R11" s="295"/>
      <c r="S11" s="298">
        <f t="shared" si="1"/>
        <v>43956</v>
      </c>
      <c r="T11" s="6"/>
      <c r="U11" s="299">
        <v>455743</v>
      </c>
      <c r="V11" s="6"/>
      <c r="W11" s="44">
        <v>0.36799999999999999</v>
      </c>
      <c r="X11" s="6"/>
      <c r="Y11" s="300">
        <f t="shared" si="0"/>
        <v>3219</v>
      </c>
      <c r="Z11" s="6"/>
      <c r="AA11" s="304"/>
      <c r="AB11" s="297"/>
    </row>
    <row r="12" spans="2:28" ht="15.6" x14ac:dyDescent="0.3">
      <c r="B12" s="258"/>
      <c r="C12" s="258"/>
      <c r="D12" s="171"/>
      <c r="E12" t="s">
        <v>97</v>
      </c>
      <c r="F12" t="s">
        <v>102</v>
      </c>
      <c r="R12" s="295"/>
      <c r="S12" s="298">
        <f t="shared" si="1"/>
        <v>43957</v>
      </c>
      <c r="T12" s="6"/>
      <c r="U12" s="299">
        <v>454697</v>
      </c>
      <c r="V12" s="6"/>
      <c r="W12" s="44">
        <f>+L$36</f>
        <v>0.24465188416895831</v>
      </c>
      <c r="X12" s="6"/>
      <c r="Y12" s="300">
        <f t="shared" si="0"/>
        <v>1046</v>
      </c>
      <c r="Z12" s="6"/>
      <c r="AA12" s="304"/>
      <c r="AB12" s="297"/>
    </row>
    <row r="13" spans="2:28" ht="15.6" x14ac:dyDescent="0.3">
      <c r="B13" s="258"/>
      <c r="C13" s="258"/>
      <c r="D13" s="171"/>
      <c r="R13" s="295"/>
      <c r="S13" s="298">
        <f t="shared" si="1"/>
        <v>43958</v>
      </c>
      <c r="T13" s="6"/>
      <c r="U13" s="299">
        <v>454838</v>
      </c>
      <c r="V13" s="6"/>
      <c r="W13" s="44">
        <f t="shared" ref="W13:W18" si="2">+L37</f>
        <v>0</v>
      </c>
      <c r="X13" s="6"/>
      <c r="Y13" s="300">
        <f t="shared" si="0"/>
        <v>-141</v>
      </c>
      <c r="Z13" s="6"/>
      <c r="AA13" s="304"/>
      <c r="AB13" s="297"/>
    </row>
    <row r="14" spans="2:28" ht="15.6" x14ac:dyDescent="0.3">
      <c r="B14" s="258"/>
      <c r="C14" s="280" t="s">
        <v>104</v>
      </c>
      <c r="D14" s="171"/>
      <c r="E14" t="s">
        <v>105</v>
      </c>
      <c r="R14" s="295"/>
      <c r="S14" s="298">
        <f t="shared" si="1"/>
        <v>43959</v>
      </c>
      <c r="T14" s="6"/>
      <c r="U14" s="299">
        <v>452043</v>
      </c>
      <c r="V14" s="6"/>
      <c r="W14" s="44">
        <f t="shared" si="2"/>
        <v>0</v>
      </c>
      <c r="X14" s="6"/>
      <c r="Y14" s="300">
        <f t="shared" si="0"/>
        <v>2795</v>
      </c>
      <c r="Z14" s="6"/>
      <c r="AA14" s="304"/>
      <c r="AB14" s="297"/>
    </row>
    <row r="15" spans="2:28" x14ac:dyDescent="0.3">
      <c r="B15" s="258"/>
      <c r="E15" s="583" t="s">
        <v>106</v>
      </c>
      <c r="F15" s="583"/>
      <c r="G15" s="583"/>
      <c r="H15" s="583"/>
      <c r="I15" s="583"/>
      <c r="R15" s="295"/>
      <c r="S15" s="298">
        <f t="shared" si="1"/>
        <v>43960</v>
      </c>
      <c r="T15" s="6"/>
      <c r="U15" s="299">
        <v>439209</v>
      </c>
      <c r="V15" s="6"/>
      <c r="W15" s="44">
        <f t="shared" si="2"/>
        <v>0</v>
      </c>
      <c r="X15" s="6"/>
      <c r="Y15" s="300">
        <f t="shared" si="0"/>
        <v>12834</v>
      </c>
      <c r="Z15" s="6"/>
      <c r="AA15" s="304"/>
      <c r="AB15" s="297"/>
    </row>
    <row r="16" spans="2:28" x14ac:dyDescent="0.3">
      <c r="R16" s="295"/>
      <c r="S16" s="298">
        <f t="shared" si="1"/>
        <v>43961</v>
      </c>
      <c r="T16" s="6"/>
      <c r="U16" s="299">
        <v>423501</v>
      </c>
      <c r="V16" s="6"/>
      <c r="W16" s="44">
        <f t="shared" si="2"/>
        <v>0</v>
      </c>
      <c r="X16" s="6"/>
      <c r="Y16" s="300">
        <f t="shared" si="0"/>
        <v>15708</v>
      </c>
      <c r="Z16" s="6"/>
      <c r="AA16" s="304"/>
      <c r="AB16" s="297"/>
    </row>
    <row r="17" spans="3:28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295"/>
      <c r="S17" s="298">
        <f t="shared" si="1"/>
        <v>43962</v>
      </c>
      <c r="T17" s="6"/>
      <c r="U17" s="299">
        <v>415158</v>
      </c>
      <c r="V17" s="6"/>
      <c r="W17" s="44">
        <f t="shared" si="2"/>
        <v>0</v>
      </c>
      <c r="X17" s="6"/>
      <c r="Y17" s="300">
        <f t="shared" si="0"/>
        <v>8343</v>
      </c>
      <c r="Z17" s="6"/>
      <c r="AA17" s="304"/>
      <c r="AB17" s="297"/>
    </row>
    <row r="18" spans="3:28" ht="15" thickBot="1" x14ac:dyDescent="0.35">
      <c r="C18" s="1"/>
      <c r="D18" s="589" t="s">
        <v>46</v>
      </c>
      <c r="E18" s="590"/>
      <c r="F18" s="590"/>
      <c r="G18" s="590"/>
      <c r="H18" s="590"/>
      <c r="I18" s="590"/>
      <c r="J18" s="590"/>
      <c r="K18" s="590"/>
      <c r="L18" s="590"/>
      <c r="M18" s="590"/>
      <c r="N18" s="590"/>
      <c r="O18" s="591"/>
      <c r="P18" s="90"/>
      <c r="Q18" s="90"/>
      <c r="R18" s="295"/>
      <c r="S18" s="298">
        <f t="shared" si="1"/>
        <v>43963</v>
      </c>
      <c r="T18" s="6"/>
      <c r="U18" s="299">
        <v>413524</v>
      </c>
      <c r="V18" s="6"/>
      <c r="W18" s="44">
        <f t="shared" si="2"/>
        <v>0</v>
      </c>
      <c r="X18" s="6"/>
      <c r="Y18" s="300">
        <f t="shared" si="0"/>
        <v>1634</v>
      </c>
      <c r="Z18" s="6"/>
      <c r="AA18" s="304"/>
      <c r="AB18" s="297"/>
    </row>
    <row r="19" spans="3:28" ht="15" thickBot="1" x14ac:dyDescent="0.35">
      <c r="C19" s="1"/>
      <c r="D19" s="146"/>
      <c r="E19" s="592" t="s">
        <v>77</v>
      </c>
      <c r="F19" s="592"/>
      <c r="G19" s="592"/>
      <c r="H19" s="592"/>
      <c r="I19" s="147" t="s">
        <v>76</v>
      </c>
      <c r="J19" s="148"/>
      <c r="K19" s="597" t="s">
        <v>74</v>
      </c>
      <c r="L19" s="597"/>
      <c r="M19" s="141"/>
      <c r="N19" s="145" t="s">
        <v>75</v>
      </c>
      <c r="O19" s="142"/>
      <c r="P19" s="114"/>
      <c r="Q19" s="114"/>
      <c r="R19" s="295"/>
      <c r="S19" s="298">
        <f t="shared" si="1"/>
        <v>43964</v>
      </c>
      <c r="T19" s="6"/>
      <c r="U19" s="299">
        <v>410932</v>
      </c>
      <c r="V19" s="6"/>
      <c r="W19" s="44">
        <f>+L43</f>
        <v>0</v>
      </c>
      <c r="X19" s="6"/>
      <c r="Y19" s="300">
        <f t="shared" si="0"/>
        <v>2592</v>
      </c>
      <c r="Z19" s="6"/>
      <c r="AA19" s="304"/>
      <c r="AB19" s="297"/>
    </row>
    <row r="20" spans="3:28" x14ac:dyDescent="0.3">
      <c r="C20" s="1"/>
      <c r="D20" s="126"/>
      <c r="E20" s="127" t="s">
        <v>43</v>
      </c>
      <c r="F20" s="128"/>
      <c r="G20" s="127"/>
      <c r="H20" s="127"/>
      <c r="I20" s="93">
        <f>+'Main Table'!H54</f>
        <v>1188122</v>
      </c>
      <c r="J20" s="129"/>
      <c r="K20" s="140"/>
      <c r="L20" s="140"/>
      <c r="M20" s="140"/>
      <c r="N20" s="140"/>
      <c r="O20" s="136"/>
      <c r="P20" s="90"/>
      <c r="Q20" s="90"/>
      <c r="R20" s="295"/>
      <c r="S20" s="298">
        <f t="shared" si="1"/>
        <v>43965</v>
      </c>
      <c r="T20" s="6"/>
      <c r="U20" s="299">
        <v>409640</v>
      </c>
      <c r="V20" s="6"/>
      <c r="W20" s="44">
        <v>0</v>
      </c>
      <c r="X20" s="6"/>
      <c r="Y20" s="300">
        <f t="shared" ref="Y20" si="3">+U19-U20</f>
        <v>1292</v>
      </c>
      <c r="Z20" s="6"/>
      <c r="AA20" s="304"/>
      <c r="AB20" s="297"/>
    </row>
    <row r="21" spans="3:28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Table'!Z74</f>
        <v>91981</v>
      </c>
      <c r="J21" s="129"/>
      <c r="K21" s="140"/>
      <c r="L21" s="140"/>
      <c r="M21" s="140"/>
      <c r="N21" s="140"/>
      <c r="O21" s="136"/>
      <c r="P21" s="90"/>
      <c r="Q21" s="90"/>
      <c r="R21" s="295"/>
      <c r="S21" s="298">
        <f t="shared" si="1"/>
        <v>43966</v>
      </c>
      <c r="T21" s="6"/>
      <c r="U21" s="299">
        <v>405327</v>
      </c>
      <c r="V21" s="6"/>
      <c r="W21" s="44">
        <v>0.27300000000000002</v>
      </c>
      <c r="X21" s="6"/>
      <c r="Y21" s="300">
        <f t="shared" ref="Y21" si="4">+U20-U21</f>
        <v>4313</v>
      </c>
      <c r="Z21" s="6"/>
      <c r="AA21" s="304"/>
      <c r="AB21" s="297"/>
    </row>
    <row r="22" spans="3:28" x14ac:dyDescent="0.3">
      <c r="C22" s="1"/>
      <c r="D22" s="126"/>
      <c r="E22" s="127"/>
      <c r="F22" s="127" t="s">
        <v>45</v>
      </c>
      <c r="G22" s="127"/>
      <c r="H22" s="127"/>
      <c r="I22" s="159">
        <v>16355</v>
      </c>
      <c r="J22" s="129"/>
      <c r="K22" s="140"/>
      <c r="L22" s="283">
        <v>16355</v>
      </c>
      <c r="M22" s="140"/>
      <c r="N22" s="160">
        <f>+(I22-L22)/I22</f>
        <v>0</v>
      </c>
      <c r="O22" s="136"/>
      <c r="P22" s="90"/>
      <c r="Q22" s="90"/>
      <c r="R22" s="295"/>
      <c r="S22" s="298">
        <f t="shared" si="1"/>
        <v>43967</v>
      </c>
      <c r="T22" s="6"/>
      <c r="U22" s="299">
        <v>393991</v>
      </c>
      <c r="V22" s="6"/>
      <c r="W22" s="44">
        <v>0.26100000000000001</v>
      </c>
      <c r="X22" s="6"/>
      <c r="Y22" s="300">
        <f t="shared" ref="Y22" si="5">+U21-U22</f>
        <v>11336</v>
      </c>
      <c r="Z22" s="6"/>
      <c r="AA22" s="304"/>
      <c r="AB22" s="297"/>
    </row>
    <row r="23" spans="3:28" x14ac:dyDescent="0.3">
      <c r="C23" s="1"/>
      <c r="D23" s="126"/>
      <c r="E23" s="127"/>
      <c r="F23" s="137" t="s">
        <v>72</v>
      </c>
      <c r="G23" s="137"/>
      <c r="H23" s="137"/>
      <c r="I23" s="130">
        <f>+I20-I21-I22</f>
        <v>1079786</v>
      </c>
      <c r="J23" s="129"/>
      <c r="K23" s="140"/>
      <c r="L23" s="140"/>
      <c r="M23" s="140"/>
      <c r="N23" s="140"/>
      <c r="O23" s="136"/>
      <c r="P23" s="113"/>
      <c r="Q23" s="113"/>
      <c r="R23" s="295"/>
      <c r="S23" s="298">
        <f t="shared" si="1"/>
        <v>43968</v>
      </c>
      <c r="T23" s="6"/>
      <c r="U23" s="299">
        <v>384245</v>
      </c>
      <c r="V23" s="6"/>
      <c r="W23" s="44">
        <v>0.251</v>
      </c>
      <c r="X23" s="6"/>
      <c r="Y23" s="300">
        <f t="shared" ref="Y23" si="6">+U22-U23</f>
        <v>9746</v>
      </c>
      <c r="Z23" s="6"/>
      <c r="AA23" s="304"/>
      <c r="AB23" s="297"/>
    </row>
    <row r="24" spans="3:28" x14ac:dyDescent="0.3">
      <c r="C24" s="1"/>
      <c r="D24" s="126"/>
      <c r="E24" s="127" t="s">
        <v>79</v>
      </c>
      <c r="F24" s="129"/>
      <c r="G24" s="129"/>
      <c r="H24" s="129"/>
      <c r="I24" s="131">
        <f>+'Main Table'!AO74</f>
        <v>356383</v>
      </c>
      <c r="J24" s="129"/>
      <c r="K24" s="140"/>
      <c r="L24" s="140"/>
      <c r="M24" s="140"/>
      <c r="N24" s="140"/>
      <c r="O24" s="136"/>
      <c r="P24" s="113"/>
      <c r="Q24" s="113"/>
      <c r="R24" s="295"/>
      <c r="S24" s="298">
        <f t="shared" si="1"/>
        <v>43969</v>
      </c>
      <c r="T24" s="6"/>
      <c r="U24" s="299">
        <f>+I36</f>
        <v>379527</v>
      </c>
      <c r="V24" s="6"/>
      <c r="W24" s="44">
        <f>+L36</f>
        <v>0.24465188416895831</v>
      </c>
      <c r="X24" s="6"/>
      <c r="Y24" s="300">
        <f t="shared" ref="Y24" si="7">+U23-U24</f>
        <v>4718</v>
      </c>
      <c r="Z24" s="6"/>
      <c r="AA24" s="304"/>
      <c r="AB24" s="297"/>
    </row>
    <row r="25" spans="3:28" x14ac:dyDescent="0.3">
      <c r="C25" s="1"/>
      <c r="D25" s="593" t="s">
        <v>49</v>
      </c>
      <c r="E25" s="594"/>
      <c r="F25" s="594"/>
      <c r="G25" s="594"/>
      <c r="H25" s="594"/>
      <c r="I25" s="132">
        <f>+I23-I24</f>
        <v>723403</v>
      </c>
      <c r="J25" s="129"/>
      <c r="K25" s="140"/>
      <c r="L25" s="140"/>
      <c r="M25" s="140"/>
      <c r="N25" s="140"/>
      <c r="O25" s="136"/>
      <c r="P25" s="113"/>
      <c r="Q25" s="113"/>
      <c r="R25" s="295"/>
      <c r="S25" s="298">
        <f t="shared" si="1"/>
        <v>43970</v>
      </c>
      <c r="T25" s="6"/>
      <c r="U25" s="299"/>
      <c r="V25" s="6"/>
      <c r="W25" s="44"/>
      <c r="X25" s="6"/>
      <c r="Y25" s="300"/>
      <c r="Z25" s="6"/>
      <c r="AA25" s="304"/>
      <c r="AB25" s="297"/>
    </row>
    <row r="26" spans="3:28" x14ac:dyDescent="0.3">
      <c r="C26" s="1"/>
      <c r="D26" s="126"/>
      <c r="E26" s="127" t="s">
        <v>73</v>
      </c>
      <c r="F26" s="129"/>
      <c r="G26" s="129"/>
      <c r="H26" s="129"/>
      <c r="I26" s="131">
        <f>+I24</f>
        <v>356383</v>
      </c>
      <c r="J26" s="129"/>
      <c r="K26" s="140"/>
      <c r="L26" s="140"/>
      <c r="M26" s="140"/>
      <c r="N26" s="140"/>
      <c r="O26" s="136"/>
      <c r="P26" s="90"/>
      <c r="Q26" s="90"/>
      <c r="R26" s="295"/>
      <c r="S26" s="298">
        <f t="shared" si="1"/>
        <v>43971</v>
      </c>
      <c r="T26" s="6"/>
      <c r="U26" s="299"/>
      <c r="V26" s="6"/>
      <c r="W26" s="44"/>
      <c r="X26" s="6"/>
      <c r="Y26" s="300"/>
      <c r="Z26" s="6"/>
      <c r="AA26" s="304"/>
      <c r="AB26" s="297"/>
    </row>
    <row r="27" spans="3:28" ht="15" thickBot="1" x14ac:dyDescent="0.35">
      <c r="C27" s="1"/>
      <c r="D27" s="593" t="s">
        <v>46</v>
      </c>
      <c r="E27" s="594"/>
      <c r="F27" s="594"/>
      <c r="G27" s="594"/>
      <c r="H27" s="594"/>
      <c r="I27" s="149">
        <f>+I25+I26</f>
        <v>1079786</v>
      </c>
      <c r="J27" s="129"/>
      <c r="K27" s="598">
        <v>1053441</v>
      </c>
      <c r="L27" s="598"/>
      <c r="M27" s="140"/>
      <c r="N27" s="150">
        <f>+I27-K27</f>
        <v>26345</v>
      </c>
      <c r="O27" s="136"/>
      <c r="P27" s="90"/>
      <c r="Q27" s="90"/>
      <c r="R27" s="295"/>
      <c r="S27" s="298">
        <f t="shared" si="1"/>
        <v>43972</v>
      </c>
      <c r="T27" s="6"/>
      <c r="U27" s="299"/>
      <c r="V27" s="6"/>
      <c r="W27" s="44"/>
      <c r="X27" s="6"/>
      <c r="Y27" s="300"/>
      <c r="Z27" s="6"/>
      <c r="AA27" s="304"/>
      <c r="AB27" s="297"/>
    </row>
    <row r="28" spans="3:28" ht="15.6" thickTop="1" thickBot="1" x14ac:dyDescent="0.35">
      <c r="C28" s="10"/>
      <c r="D28" s="135"/>
      <c r="E28" s="595" t="s">
        <v>71</v>
      </c>
      <c r="F28" s="595"/>
      <c r="G28" s="595"/>
      <c r="H28" s="137"/>
      <c r="I28" s="276">
        <f>+I27/I32</f>
        <v>0.69605503534468649</v>
      </c>
      <c r="J28" s="140"/>
      <c r="K28" s="140"/>
      <c r="L28" s="140"/>
      <c r="M28" s="110"/>
      <c r="N28" s="162">
        <f>+N27/K27</f>
        <v>2.5008519698777626E-2</v>
      </c>
      <c r="O28" s="136"/>
      <c r="P28" s="1"/>
      <c r="Q28" s="1"/>
      <c r="R28" s="295"/>
      <c r="S28" s="298">
        <f t="shared" si="1"/>
        <v>43973</v>
      </c>
      <c r="T28" s="6"/>
      <c r="U28" s="299"/>
      <c r="V28" s="6"/>
      <c r="W28" s="44"/>
      <c r="X28" s="6"/>
      <c r="Y28" s="300"/>
      <c r="Z28" s="6"/>
      <c r="AA28" s="304"/>
      <c r="AB28" s="297"/>
    </row>
    <row r="29" spans="3:28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295"/>
      <c r="S29" s="298">
        <f t="shared" si="1"/>
        <v>43974</v>
      </c>
      <c r="T29" s="6"/>
      <c r="U29" s="299"/>
      <c r="V29" s="6"/>
      <c r="W29" s="44"/>
      <c r="X29" s="6"/>
      <c r="Y29" s="300"/>
      <c r="Z29" s="6"/>
      <c r="AA29" s="304"/>
      <c r="AB29" s="297"/>
    </row>
    <row r="30" spans="3:28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295"/>
      <c r="S30" s="298">
        <f t="shared" si="1"/>
        <v>43975</v>
      </c>
      <c r="T30" s="6"/>
      <c r="U30" s="299"/>
      <c r="V30" s="6"/>
      <c r="W30" s="44"/>
      <c r="X30" s="6"/>
      <c r="Y30" s="300"/>
      <c r="Z30" s="6"/>
      <c r="AA30" s="304"/>
      <c r="AB30" s="297"/>
    </row>
    <row r="31" spans="3:28" ht="16.2" thickBot="1" x14ac:dyDescent="0.35">
      <c r="C31" s="90"/>
      <c r="D31" s="274"/>
      <c r="E31" s="558" t="s">
        <v>116</v>
      </c>
      <c r="F31" s="559"/>
      <c r="G31" s="559"/>
      <c r="H31" s="559"/>
      <c r="I31" s="559"/>
      <c r="J31" s="560"/>
      <c r="K31" s="273"/>
      <c r="L31" s="272" t="s">
        <v>10</v>
      </c>
      <c r="M31" s="271"/>
      <c r="N31" s="270"/>
      <c r="O31" s="110"/>
      <c r="P31" s="90"/>
      <c r="Q31" s="90"/>
      <c r="R31" s="295"/>
      <c r="S31" s="298">
        <f t="shared" si="1"/>
        <v>43976</v>
      </c>
      <c r="T31" s="6"/>
      <c r="U31" s="299"/>
      <c r="V31" s="6"/>
      <c r="W31" s="44"/>
      <c r="X31" s="6"/>
      <c r="Y31" s="300"/>
      <c r="Z31" s="6"/>
      <c r="AA31" s="304"/>
      <c r="AB31" s="297"/>
    </row>
    <row r="32" spans="3:28" x14ac:dyDescent="0.3">
      <c r="C32" s="10"/>
      <c r="D32" s="261"/>
      <c r="E32" s="262" t="s">
        <v>90</v>
      </c>
      <c r="F32" s="24"/>
      <c r="G32" s="24"/>
      <c r="H32" s="24"/>
      <c r="I32" s="599">
        <f>+'Main Table'!H74</f>
        <v>1551294</v>
      </c>
      <c r="J32" s="599"/>
      <c r="K32" s="24"/>
      <c r="L32" s="25">
        <f>+I32/$I$32</f>
        <v>1</v>
      </c>
      <c r="M32" s="263"/>
      <c r="N32" s="90"/>
      <c r="O32" s="90"/>
      <c r="P32" s="90"/>
      <c r="Q32" s="90"/>
      <c r="R32" s="295"/>
      <c r="S32" s="298">
        <f t="shared" si="1"/>
        <v>43977</v>
      </c>
      <c r="T32" s="6"/>
      <c r="U32" s="299"/>
      <c r="V32" s="6"/>
      <c r="W32" s="44"/>
      <c r="X32" s="6"/>
      <c r="Y32" s="300"/>
      <c r="Z32" s="6"/>
      <c r="AA32" s="304"/>
      <c r="AB32" s="297"/>
    </row>
    <row r="33" spans="3:28" x14ac:dyDescent="0.3">
      <c r="C33" s="10"/>
      <c r="D33" s="261"/>
      <c r="E33" s="262"/>
      <c r="F33" s="24"/>
      <c r="G33" s="24"/>
      <c r="H33" s="24"/>
      <c r="I33" s="24"/>
      <c r="J33" s="24"/>
      <c r="K33" s="24"/>
      <c r="L33" s="24"/>
      <c r="M33" s="263"/>
      <c r="N33" s="90"/>
      <c r="O33" s="90"/>
      <c r="P33" s="90"/>
      <c r="Q33" s="90"/>
      <c r="R33" s="295"/>
      <c r="S33" s="298">
        <f t="shared" si="1"/>
        <v>43978</v>
      </c>
      <c r="T33" s="6"/>
      <c r="U33" s="299"/>
      <c r="V33" s="6"/>
      <c r="W33" s="44"/>
      <c r="X33" s="6"/>
      <c r="Y33" s="300"/>
      <c r="Z33" s="6"/>
      <c r="AA33" s="304"/>
      <c r="AB33" s="297"/>
    </row>
    <row r="34" spans="3:28" x14ac:dyDescent="0.3">
      <c r="D34" s="264"/>
      <c r="E34" s="22"/>
      <c r="F34" s="265" t="s">
        <v>115</v>
      </c>
      <c r="G34" s="265"/>
      <c r="H34" s="22"/>
      <c r="I34" s="554">
        <f>+I27</f>
        <v>1079786</v>
      </c>
      <c r="J34" s="555"/>
      <c r="K34" s="22"/>
      <c r="L34" s="25">
        <f>+I34/$I$32</f>
        <v>0.69605503534468649</v>
      </c>
      <c r="M34" s="266"/>
      <c r="P34" s="234"/>
      <c r="Q34" s="234"/>
      <c r="R34" s="295"/>
      <c r="S34" s="298">
        <f t="shared" si="1"/>
        <v>43979</v>
      </c>
      <c r="T34" s="6"/>
      <c r="U34" s="299"/>
      <c r="V34" s="6"/>
      <c r="W34" s="44"/>
      <c r="X34" s="6"/>
      <c r="Y34" s="300"/>
      <c r="Z34" s="6"/>
      <c r="AA34" s="304"/>
      <c r="AB34" s="297"/>
    </row>
    <row r="35" spans="3:28" x14ac:dyDescent="0.3">
      <c r="D35" s="264"/>
      <c r="E35" s="22"/>
      <c r="F35" s="22" t="s">
        <v>91</v>
      </c>
      <c r="G35" s="22"/>
      <c r="H35" s="22"/>
      <c r="I35" s="561">
        <f>+I21</f>
        <v>91981</v>
      </c>
      <c r="J35" s="562"/>
      <c r="K35" s="22"/>
      <c r="L35" s="25">
        <f>+I35/$I$32</f>
        <v>5.929308048635526E-2</v>
      </c>
      <c r="M35" s="266"/>
      <c r="P35" s="275"/>
      <c r="Q35" s="275"/>
      <c r="R35" s="295"/>
      <c r="S35" s="298">
        <f t="shared" si="1"/>
        <v>43980</v>
      </c>
      <c r="T35" s="6"/>
      <c r="U35" s="299"/>
      <c r="V35" s="6"/>
      <c r="W35" s="44"/>
      <c r="X35" s="6"/>
      <c r="Y35" s="300"/>
      <c r="Z35" s="6"/>
      <c r="AA35" s="304"/>
      <c r="AB35" s="297"/>
    </row>
    <row r="36" spans="3:28" ht="15" thickBot="1" x14ac:dyDescent="0.35">
      <c r="D36" s="264"/>
      <c r="E36" s="596" t="s">
        <v>116</v>
      </c>
      <c r="F36" s="596"/>
      <c r="G36" s="596"/>
      <c r="H36" s="277"/>
      <c r="I36" s="556">
        <f>+I32-I34-I35</f>
        <v>379527</v>
      </c>
      <c r="J36" s="557"/>
      <c r="K36" s="305"/>
      <c r="L36" s="278">
        <f>+I36/$I$32</f>
        <v>0.24465188416895831</v>
      </c>
      <c r="M36" s="266"/>
      <c r="R36" s="295"/>
      <c r="S36" s="298">
        <f t="shared" si="1"/>
        <v>43981</v>
      </c>
      <c r="T36" s="6"/>
      <c r="U36" s="299"/>
      <c r="V36" s="6"/>
      <c r="W36" s="44"/>
      <c r="X36" s="6"/>
      <c r="Y36" s="300"/>
      <c r="Z36" s="6"/>
      <c r="AA36" s="304"/>
      <c r="AB36" s="297"/>
    </row>
    <row r="37" spans="3:28" ht="15.6" thickTop="1" thickBot="1" x14ac:dyDescent="0.35">
      <c r="D37" s="267"/>
      <c r="E37" s="268"/>
      <c r="F37" s="268"/>
      <c r="G37" s="268"/>
      <c r="H37" s="268"/>
      <c r="I37" s="268"/>
      <c r="J37" s="268"/>
      <c r="K37" s="268"/>
      <c r="L37" s="268"/>
      <c r="M37" s="269"/>
      <c r="R37" s="295"/>
      <c r="S37" s="298">
        <f t="shared" si="1"/>
        <v>43982</v>
      </c>
      <c r="T37" s="6"/>
      <c r="U37" s="299"/>
      <c r="V37" s="6"/>
      <c r="W37" s="44"/>
      <c r="X37" s="6"/>
      <c r="Y37" s="300"/>
      <c r="Z37" s="6"/>
      <c r="AA37" s="304"/>
      <c r="AB37" s="297"/>
    </row>
    <row r="38" spans="3:28" x14ac:dyDescent="0.3">
      <c r="R38" s="295"/>
      <c r="S38" s="298">
        <f t="shared" si="1"/>
        <v>43983</v>
      </c>
      <c r="T38" s="6"/>
      <c r="U38" s="299"/>
      <c r="V38" s="6"/>
      <c r="W38" s="44"/>
      <c r="X38" s="6"/>
      <c r="Y38" s="300"/>
      <c r="Z38" s="6"/>
      <c r="AA38" s="304"/>
      <c r="AB38" s="297"/>
    </row>
    <row r="39" spans="3:28" ht="15" thickBot="1" x14ac:dyDescent="0.35">
      <c r="R39" s="295"/>
      <c r="S39" s="298">
        <f t="shared" si="1"/>
        <v>43984</v>
      </c>
      <c r="T39" s="6"/>
      <c r="U39" s="299"/>
      <c r="V39" s="6"/>
      <c r="W39" s="44"/>
      <c r="X39" s="6"/>
      <c r="Y39" s="300"/>
      <c r="Z39" s="6"/>
      <c r="AA39" s="304"/>
      <c r="AB39" s="297"/>
    </row>
    <row r="40" spans="3:28" ht="15" thickBot="1" x14ac:dyDescent="0.35">
      <c r="D40" s="584" t="s">
        <v>120</v>
      </c>
      <c r="E40" s="585"/>
      <c r="F40" s="585"/>
      <c r="G40" s="585"/>
      <c r="H40" s="585"/>
      <c r="I40" s="585"/>
      <c r="J40" s="585"/>
      <c r="K40" s="585"/>
      <c r="L40" s="585"/>
      <c r="M40" s="585"/>
      <c r="N40" s="585"/>
      <c r="O40" s="586"/>
      <c r="R40" s="301"/>
      <c r="S40" s="399">
        <f t="shared" si="1"/>
        <v>43985</v>
      </c>
      <c r="T40" s="292"/>
      <c r="U40" s="400"/>
      <c r="V40" s="292"/>
      <c r="W40" s="302"/>
      <c r="X40" s="292"/>
      <c r="Y40" s="401"/>
      <c r="Z40" s="292"/>
      <c r="AA40" s="402"/>
      <c r="AB40" s="303"/>
    </row>
    <row r="41" spans="3:28" ht="15" thickBot="1" x14ac:dyDescent="0.35">
      <c r="D41" s="323"/>
      <c r="E41" s="587" t="s">
        <v>77</v>
      </c>
      <c r="F41" s="587"/>
      <c r="G41" s="587"/>
      <c r="H41" s="587"/>
      <c r="I41" s="306" t="s">
        <v>76</v>
      </c>
      <c r="J41" s="307"/>
      <c r="K41" s="588" t="s">
        <v>37</v>
      </c>
      <c r="L41" s="588"/>
      <c r="M41" s="308"/>
      <c r="N41" s="309" t="s">
        <v>75</v>
      </c>
      <c r="O41" s="324"/>
    </row>
    <row r="42" spans="3:28" x14ac:dyDescent="0.3">
      <c r="D42" s="325"/>
      <c r="E42" s="310" t="s">
        <v>43</v>
      </c>
      <c r="F42" s="311"/>
      <c r="G42" s="310"/>
      <c r="H42" s="310"/>
      <c r="I42" s="384">
        <v>19862</v>
      </c>
      <c r="J42" s="384"/>
      <c r="K42" s="385"/>
      <c r="L42" s="385"/>
      <c r="M42" s="385"/>
      <c r="N42" s="385"/>
      <c r="O42" s="317"/>
    </row>
    <row r="43" spans="3:28" x14ac:dyDescent="0.3">
      <c r="D43" s="325"/>
      <c r="E43" s="310" t="s">
        <v>44</v>
      </c>
      <c r="F43" s="310" t="s">
        <v>4</v>
      </c>
      <c r="G43" s="310"/>
      <c r="H43" s="310"/>
      <c r="I43" s="384">
        <v>1436</v>
      </c>
      <c r="J43" s="384"/>
      <c r="K43" s="385"/>
      <c r="L43" s="385"/>
      <c r="M43" s="385"/>
      <c r="N43" s="385"/>
      <c r="O43" s="317"/>
    </row>
    <row r="44" spans="3:28" x14ac:dyDescent="0.3">
      <c r="D44" s="325"/>
      <c r="E44" s="310"/>
      <c r="F44" s="310" t="s">
        <v>45</v>
      </c>
      <c r="G44" s="310"/>
      <c r="H44" s="310"/>
      <c r="I44" s="386">
        <v>1232</v>
      </c>
      <c r="J44" s="384"/>
      <c r="K44" s="385"/>
      <c r="L44" s="384"/>
      <c r="M44" s="385"/>
      <c r="N44" s="387"/>
      <c r="O44" s="317"/>
    </row>
    <row r="45" spans="3:28" x14ac:dyDescent="0.3">
      <c r="D45" s="325"/>
      <c r="E45" s="310"/>
      <c r="F45" s="314" t="s">
        <v>72</v>
      </c>
      <c r="G45" s="314"/>
      <c r="H45" s="314"/>
      <c r="I45" s="384">
        <f>+I42-I43-I44</f>
        <v>17194</v>
      </c>
      <c r="J45" s="384"/>
      <c r="K45" s="385"/>
      <c r="L45" s="385"/>
      <c r="M45" s="385"/>
      <c r="N45" s="385"/>
      <c r="O45" s="317"/>
    </row>
    <row r="46" spans="3:28" x14ac:dyDescent="0.3">
      <c r="D46" s="325"/>
      <c r="E46" s="310" t="s">
        <v>79</v>
      </c>
      <c r="F46" s="312"/>
      <c r="G46" s="312"/>
      <c r="H46" s="312"/>
      <c r="I46" s="386">
        <f>+'Main Table'!AO91</f>
        <v>0</v>
      </c>
      <c r="J46" s="384"/>
      <c r="K46" s="385"/>
      <c r="L46" s="385"/>
      <c r="M46" s="385"/>
      <c r="N46" s="385"/>
      <c r="O46" s="317"/>
    </row>
    <row r="47" spans="3:28" x14ac:dyDescent="0.3">
      <c r="D47" s="564" t="s">
        <v>49</v>
      </c>
      <c r="E47" s="565"/>
      <c r="F47" s="565"/>
      <c r="G47" s="565"/>
      <c r="H47" s="565"/>
      <c r="I47" s="315">
        <f>+I45-I46</f>
        <v>17194</v>
      </c>
      <c r="J47" s="384"/>
      <c r="K47" s="385"/>
      <c r="L47" s="385"/>
      <c r="M47" s="385"/>
      <c r="N47" s="385"/>
      <c r="O47" s="317"/>
    </row>
    <row r="48" spans="3:28" x14ac:dyDescent="0.3">
      <c r="D48" s="325"/>
      <c r="E48" s="310" t="s">
        <v>73</v>
      </c>
      <c r="F48" s="312"/>
      <c r="G48" s="312"/>
      <c r="H48" s="312"/>
      <c r="I48" s="386">
        <f>+I46</f>
        <v>0</v>
      </c>
      <c r="J48" s="384"/>
      <c r="K48" s="385"/>
      <c r="L48" s="385"/>
      <c r="M48" s="385"/>
      <c r="N48" s="385"/>
      <c r="O48" s="317"/>
    </row>
    <row r="49" spans="4:17" ht="15" thickBot="1" x14ac:dyDescent="0.35">
      <c r="D49" s="564" t="s">
        <v>46</v>
      </c>
      <c r="E49" s="565"/>
      <c r="F49" s="565"/>
      <c r="G49" s="565"/>
      <c r="H49" s="565"/>
      <c r="I49" s="388">
        <f>+I47+I48</f>
        <v>17194</v>
      </c>
      <c r="J49" s="384"/>
      <c r="K49" s="566">
        <v>25250</v>
      </c>
      <c r="L49" s="566"/>
      <c r="M49" s="385"/>
      <c r="N49" s="389">
        <f>+K49-I49</f>
        <v>8056</v>
      </c>
      <c r="O49" s="317"/>
      <c r="Q49" s="56"/>
    </row>
    <row r="50" spans="4:17" ht="15.6" thickTop="1" thickBot="1" x14ac:dyDescent="0.35">
      <c r="D50" s="316"/>
      <c r="E50" s="567" t="s">
        <v>71</v>
      </c>
      <c r="F50" s="567"/>
      <c r="G50" s="567"/>
      <c r="H50" s="314"/>
      <c r="I50" s="390">
        <f>+I49/K49</f>
        <v>0.680950495049505</v>
      </c>
      <c r="J50" s="385"/>
      <c r="K50" s="385"/>
      <c r="L50" s="385"/>
      <c r="M50" s="385"/>
      <c r="N50" s="391">
        <f>+N49/K49</f>
        <v>0.31904950495049506</v>
      </c>
      <c r="O50" s="317"/>
      <c r="Q50" s="56"/>
    </row>
    <row r="51" spans="4:17" ht="15.6" thickTop="1" thickBot="1" x14ac:dyDescent="0.35">
      <c r="D51" s="326"/>
      <c r="E51" s="327"/>
      <c r="F51" s="327"/>
      <c r="G51" s="327"/>
      <c r="H51" s="327"/>
      <c r="I51" s="392"/>
      <c r="J51" s="393"/>
      <c r="K51" s="394"/>
      <c r="L51" s="394"/>
      <c r="M51" s="394"/>
      <c r="N51" s="394"/>
      <c r="O51" s="320"/>
    </row>
    <row r="52" spans="4:17" ht="15" thickBot="1" x14ac:dyDescent="0.35">
      <c r="D52" s="90"/>
      <c r="E52" s="152"/>
      <c r="F52" s="152"/>
      <c r="G52" s="152"/>
      <c r="H52" s="152"/>
      <c r="I52" s="357"/>
      <c r="J52" s="90"/>
      <c r="K52" s="110"/>
      <c r="L52" s="110"/>
      <c r="M52" s="363"/>
      <c r="N52" s="110"/>
      <c r="O52" s="110"/>
      <c r="P52" s="61"/>
    </row>
    <row r="53" spans="4:17" ht="16.2" thickBot="1" x14ac:dyDescent="0.35">
      <c r="D53" s="364"/>
      <c r="E53" s="568" t="s">
        <v>132</v>
      </c>
      <c r="F53" s="569"/>
      <c r="G53" s="569"/>
      <c r="H53" s="569"/>
      <c r="I53" s="569"/>
      <c r="J53" s="570"/>
      <c r="K53" s="365"/>
      <c r="L53" s="368" t="s">
        <v>10</v>
      </c>
      <c r="M53" s="367"/>
      <c r="N53" s="110"/>
      <c r="O53" s="110"/>
      <c r="P53" s="61"/>
    </row>
    <row r="54" spans="4:17" x14ac:dyDescent="0.3">
      <c r="D54" s="325"/>
      <c r="E54" s="358" t="s">
        <v>90</v>
      </c>
      <c r="F54" s="312"/>
      <c r="G54" s="312"/>
      <c r="H54" s="312"/>
      <c r="I54" s="571">
        <f>+K49</f>
        <v>25250</v>
      </c>
      <c r="J54" s="571"/>
      <c r="K54" s="312"/>
      <c r="L54" s="359">
        <f>+I54/$I$54</f>
        <v>1</v>
      </c>
      <c r="M54" s="366"/>
      <c r="N54" s="110"/>
      <c r="O54" s="110"/>
      <c r="P54" s="61"/>
    </row>
    <row r="55" spans="4:17" x14ac:dyDescent="0.3">
      <c r="D55" s="325"/>
      <c r="E55" s="358"/>
      <c r="F55" s="312"/>
      <c r="G55" s="312"/>
      <c r="H55" s="312"/>
      <c r="I55" s="312"/>
      <c r="J55" s="312"/>
      <c r="K55" s="312"/>
      <c r="L55" s="312"/>
      <c r="M55" s="366"/>
      <c r="N55" s="110"/>
      <c r="O55" s="110"/>
      <c r="P55" s="61"/>
    </row>
    <row r="56" spans="4:17" x14ac:dyDescent="0.3">
      <c r="D56" s="316"/>
      <c r="E56" s="313"/>
      <c r="F56" s="360" t="s">
        <v>115</v>
      </c>
      <c r="G56" s="360"/>
      <c r="H56" s="313"/>
      <c r="I56" s="572">
        <f>+I49</f>
        <v>17194</v>
      </c>
      <c r="J56" s="573"/>
      <c r="K56" s="313"/>
      <c r="L56" s="359">
        <f>+I56/$I$54</f>
        <v>0.680950495049505</v>
      </c>
      <c r="M56" s="317"/>
      <c r="N56" s="110"/>
      <c r="O56" s="110"/>
      <c r="P56" s="61"/>
    </row>
    <row r="57" spans="4:17" x14ac:dyDescent="0.3">
      <c r="D57" s="316"/>
      <c r="E57" s="313"/>
      <c r="F57" s="313" t="s">
        <v>91</v>
      </c>
      <c r="G57" s="313"/>
      <c r="H57" s="313"/>
      <c r="I57" s="574">
        <f>+I43</f>
        <v>1436</v>
      </c>
      <c r="J57" s="575"/>
      <c r="K57" s="313"/>
      <c r="L57" s="359">
        <f>+I57/$I$54</f>
        <v>5.6871287128712873E-2</v>
      </c>
      <c r="M57" s="317"/>
      <c r="N57" s="110"/>
      <c r="O57" s="110"/>
      <c r="P57" s="61"/>
    </row>
    <row r="58" spans="4:17" ht="15" thickBot="1" x14ac:dyDescent="0.35">
      <c r="D58" s="316"/>
      <c r="E58" s="576" t="s">
        <v>116</v>
      </c>
      <c r="F58" s="576"/>
      <c r="G58" s="576"/>
      <c r="H58" s="313"/>
      <c r="I58" s="577">
        <f>+I54-I56-I57</f>
        <v>6620</v>
      </c>
      <c r="J58" s="578"/>
      <c r="K58" s="361"/>
      <c r="L58" s="362">
        <f>+I58/$I$54</f>
        <v>0.26217821782178219</v>
      </c>
      <c r="M58" s="317"/>
      <c r="N58" s="110"/>
      <c r="O58" s="110"/>
      <c r="P58" s="158">
        <f>+I58-I44</f>
        <v>5388</v>
      </c>
    </row>
    <row r="59" spans="4:17" ht="15" thickTop="1" x14ac:dyDescent="0.3">
      <c r="D59" s="316"/>
      <c r="E59" s="380"/>
      <c r="F59" s="380"/>
      <c r="G59" s="380"/>
      <c r="H59" s="313"/>
      <c r="I59" s="381"/>
      <c r="J59" s="380"/>
      <c r="K59" s="361"/>
      <c r="L59" s="382"/>
      <c r="M59" s="317"/>
      <c r="N59" s="110"/>
      <c r="O59" s="110"/>
      <c r="P59" s="61"/>
    </row>
    <row r="60" spans="4:17" ht="15" thickBot="1" x14ac:dyDescent="0.35">
      <c r="D60" s="318"/>
      <c r="E60" s="319"/>
      <c r="F60" s="319"/>
      <c r="G60" s="319"/>
      <c r="H60" s="319"/>
      <c r="I60" s="319"/>
      <c r="J60" s="319"/>
      <c r="K60" s="319"/>
      <c r="L60" s="319"/>
      <c r="M60" s="320"/>
      <c r="N60" s="110"/>
      <c r="O60" s="110"/>
      <c r="P60" s="61"/>
    </row>
    <row r="61" spans="4:17" ht="15" thickBot="1" x14ac:dyDescent="0.35"/>
    <row r="62" spans="4:17" ht="15" thickBot="1" x14ac:dyDescent="0.35">
      <c r="E62" s="568" t="s">
        <v>119</v>
      </c>
      <c r="F62" s="569"/>
      <c r="G62" s="569"/>
      <c r="H62" s="569"/>
      <c r="I62" s="569"/>
      <c r="J62" s="569"/>
      <c r="K62" s="569"/>
      <c r="L62" s="569"/>
      <c r="M62" s="570"/>
      <c r="P62" s="374">
        <f>+I54/P63</f>
        <v>215.99657827202736</v>
      </c>
    </row>
    <row r="63" spans="4:17" x14ac:dyDescent="0.3">
      <c r="E63" s="369"/>
      <c r="F63" s="321" t="s">
        <v>111</v>
      </c>
      <c r="G63" s="321"/>
      <c r="H63" s="321"/>
      <c r="I63" s="563">
        <v>11690000</v>
      </c>
      <c r="J63" s="563"/>
      <c r="K63" s="563"/>
      <c r="L63" s="563"/>
      <c r="M63" s="370"/>
      <c r="P63">
        <f>+I63/100000</f>
        <v>116.9</v>
      </c>
    </row>
    <row r="64" spans="4:17" x14ac:dyDescent="0.3">
      <c r="E64" s="369"/>
      <c r="F64" s="321" t="s">
        <v>112</v>
      </c>
      <c r="G64" s="321"/>
      <c r="H64" s="321"/>
      <c r="I64" s="321"/>
      <c r="J64" s="321"/>
      <c r="K64" s="321"/>
      <c r="L64" s="322">
        <f>+I58/I63</f>
        <v>5.6629597946963222E-4</v>
      </c>
      <c r="M64" s="370"/>
    </row>
    <row r="65" spans="4:15" x14ac:dyDescent="0.3">
      <c r="E65" s="369"/>
      <c r="F65" s="579" t="s">
        <v>110</v>
      </c>
      <c r="G65" s="579"/>
      <c r="H65" s="321"/>
      <c r="I65" s="321"/>
      <c r="J65" s="321"/>
      <c r="K65" s="321"/>
      <c r="L65" s="383">
        <f>+I58/(I63/100000)</f>
        <v>56.629597946963216</v>
      </c>
      <c r="M65" s="370"/>
    </row>
    <row r="66" spans="4:15" ht="15" thickBot="1" x14ac:dyDescent="0.35">
      <c r="E66" s="371"/>
      <c r="F66" s="372"/>
      <c r="G66" s="372"/>
      <c r="H66" s="372"/>
      <c r="I66" s="372"/>
      <c r="J66" s="372"/>
      <c r="K66" s="372"/>
      <c r="L66" s="372"/>
      <c r="M66" s="373"/>
    </row>
    <row r="69" spans="4:15" ht="15" thickBot="1" x14ac:dyDescent="0.35"/>
    <row r="70" spans="4:15" ht="15" thickBot="1" x14ac:dyDescent="0.35">
      <c r="D70" s="546" t="s">
        <v>122</v>
      </c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8"/>
    </row>
    <row r="71" spans="4:15" ht="15" thickBot="1" x14ac:dyDescent="0.35">
      <c r="D71" s="403"/>
      <c r="E71" s="549" t="s">
        <v>77</v>
      </c>
      <c r="F71" s="549"/>
      <c r="G71" s="549"/>
      <c r="H71" s="549"/>
      <c r="I71" s="404" t="s">
        <v>76</v>
      </c>
      <c r="J71" s="405"/>
      <c r="K71" s="550" t="s">
        <v>37</v>
      </c>
      <c r="L71" s="550"/>
      <c r="M71" s="406"/>
      <c r="N71" s="407" t="s">
        <v>75</v>
      </c>
      <c r="O71" s="408"/>
    </row>
    <row r="72" spans="4:15" x14ac:dyDescent="0.3">
      <c r="D72" s="409"/>
      <c r="E72" s="410" t="s">
        <v>43</v>
      </c>
      <c r="F72" s="411"/>
      <c r="G72" s="410"/>
      <c r="H72" s="410"/>
      <c r="I72" s="412">
        <v>33193</v>
      </c>
      <c r="J72" s="412"/>
      <c r="K72" s="413"/>
      <c r="L72" s="413"/>
      <c r="M72" s="413"/>
      <c r="N72" s="413"/>
      <c r="O72" s="414"/>
    </row>
    <row r="73" spans="4:15" x14ac:dyDescent="0.3">
      <c r="D73" s="409"/>
      <c r="E73" s="410" t="s">
        <v>44</v>
      </c>
      <c r="F73" s="410" t="s">
        <v>4</v>
      </c>
      <c r="G73" s="410"/>
      <c r="H73" s="410"/>
      <c r="I73" s="412">
        <v>1827</v>
      </c>
      <c r="J73" s="412"/>
      <c r="K73" s="413"/>
      <c r="L73" s="413"/>
      <c r="M73" s="413"/>
      <c r="N73" s="413"/>
      <c r="O73" s="414"/>
    </row>
    <row r="74" spans="4:15" x14ac:dyDescent="0.3">
      <c r="D74" s="409"/>
      <c r="E74" s="410"/>
      <c r="F74" s="410" t="s">
        <v>45</v>
      </c>
      <c r="G74" s="410"/>
      <c r="H74" s="410"/>
      <c r="I74" s="415"/>
      <c r="J74" s="412"/>
      <c r="K74" s="413"/>
      <c r="L74" s="412"/>
      <c r="M74" s="413"/>
      <c r="N74" s="416"/>
      <c r="O74" s="414"/>
    </row>
    <row r="75" spans="4:15" x14ac:dyDescent="0.3">
      <c r="D75" s="409"/>
      <c r="E75" s="410"/>
      <c r="F75" s="417" t="s">
        <v>72</v>
      </c>
      <c r="G75" s="417"/>
      <c r="H75" s="417"/>
      <c r="I75" s="412">
        <f>+I72-I73-I74</f>
        <v>31366</v>
      </c>
      <c r="J75" s="412"/>
      <c r="K75" s="413"/>
      <c r="L75" s="413"/>
      <c r="M75" s="413"/>
      <c r="N75" s="413"/>
      <c r="O75" s="414"/>
    </row>
    <row r="76" spans="4:15" x14ac:dyDescent="0.3">
      <c r="D76" s="409"/>
      <c r="E76" s="410" t="s">
        <v>79</v>
      </c>
      <c r="F76" s="16"/>
      <c r="G76" s="16"/>
      <c r="H76" s="16"/>
      <c r="I76" s="415">
        <f>+'Main Table'!AO121</f>
        <v>0</v>
      </c>
      <c r="J76" s="412"/>
      <c r="K76" s="413"/>
      <c r="L76" s="413"/>
      <c r="M76" s="413"/>
      <c r="N76" s="413"/>
      <c r="O76" s="414"/>
    </row>
    <row r="77" spans="4:15" x14ac:dyDescent="0.3">
      <c r="D77" s="551" t="s">
        <v>49</v>
      </c>
      <c r="E77" s="552"/>
      <c r="F77" s="552"/>
      <c r="G77" s="552"/>
      <c r="H77" s="552"/>
      <c r="I77" s="418">
        <f>+I75-I76</f>
        <v>31366</v>
      </c>
      <c r="J77" s="412"/>
      <c r="K77" s="413"/>
      <c r="L77" s="413"/>
      <c r="M77" s="413"/>
      <c r="N77" s="413"/>
      <c r="O77" s="414"/>
    </row>
    <row r="78" spans="4:15" x14ac:dyDescent="0.3">
      <c r="D78" s="409"/>
      <c r="E78" s="410" t="s">
        <v>73</v>
      </c>
      <c r="F78" s="16"/>
      <c r="G78" s="16"/>
      <c r="H78" s="16"/>
      <c r="I78" s="415">
        <f>+I76</f>
        <v>0</v>
      </c>
      <c r="J78" s="412"/>
      <c r="K78" s="413"/>
      <c r="L78" s="413"/>
      <c r="M78" s="413"/>
      <c r="N78" s="413"/>
      <c r="O78" s="414"/>
    </row>
    <row r="79" spans="4:15" ht="15" thickBot="1" x14ac:dyDescent="0.35">
      <c r="D79" s="551" t="s">
        <v>46</v>
      </c>
      <c r="E79" s="552"/>
      <c r="F79" s="552"/>
      <c r="G79" s="552"/>
      <c r="H79" s="552"/>
      <c r="I79" s="419">
        <f>+I77+I78</f>
        <v>31366</v>
      </c>
      <c r="J79" s="412"/>
      <c r="K79" s="553">
        <v>42402</v>
      </c>
      <c r="L79" s="553"/>
      <c r="M79" s="413"/>
      <c r="N79" s="420">
        <f>+K79-I79</f>
        <v>11036</v>
      </c>
      <c r="O79" s="414"/>
    </row>
    <row r="80" spans="4:15" ht="15.6" thickTop="1" thickBot="1" x14ac:dyDescent="0.35">
      <c r="D80" s="421"/>
      <c r="E80" s="537" t="s">
        <v>71</v>
      </c>
      <c r="F80" s="537"/>
      <c r="G80" s="537"/>
      <c r="H80" s="417"/>
      <c r="I80" s="422">
        <f>+I79/K79</f>
        <v>0.73972925805386536</v>
      </c>
      <c r="J80" s="413"/>
      <c r="K80" s="413"/>
      <c r="L80" s="413"/>
      <c r="M80" s="413"/>
      <c r="N80" s="423">
        <f>+N79/K79</f>
        <v>0.26027074194613464</v>
      </c>
      <c r="O80" s="414"/>
    </row>
    <row r="81" spans="4:15" ht="15.6" thickTop="1" thickBot="1" x14ac:dyDescent="0.35">
      <c r="D81" s="424"/>
      <c r="E81" s="425"/>
      <c r="F81" s="425"/>
      <c r="G81" s="425"/>
      <c r="H81" s="425"/>
      <c r="I81" s="426"/>
      <c r="J81" s="427"/>
      <c r="K81" s="428"/>
      <c r="L81" s="428"/>
      <c r="M81" s="428"/>
      <c r="N81" s="428"/>
      <c r="O81" s="429"/>
    </row>
    <row r="82" spans="4:15" ht="15" thickBot="1" x14ac:dyDescent="0.35">
      <c r="D82" s="90"/>
      <c r="E82" s="152"/>
      <c r="F82" s="152"/>
      <c r="G82" s="152"/>
      <c r="H82" s="152"/>
      <c r="I82" s="357"/>
      <c r="J82" s="90"/>
      <c r="K82" s="110"/>
      <c r="L82" s="110"/>
      <c r="M82" s="363"/>
      <c r="N82" s="110"/>
      <c r="O82" s="110"/>
    </row>
    <row r="83" spans="4:15" ht="16.2" thickBot="1" x14ac:dyDescent="0.35">
      <c r="D83" s="430"/>
      <c r="E83" s="538" t="s">
        <v>123</v>
      </c>
      <c r="F83" s="539"/>
      <c r="G83" s="539"/>
      <c r="H83" s="539"/>
      <c r="I83" s="539"/>
      <c r="J83" s="540"/>
      <c r="K83" s="431"/>
      <c r="L83" s="443" t="s">
        <v>10</v>
      </c>
      <c r="M83" s="432"/>
      <c r="N83" s="110"/>
      <c r="O83" s="110"/>
    </row>
    <row r="84" spans="4:15" x14ac:dyDescent="0.3">
      <c r="D84" s="409"/>
      <c r="E84" s="433" t="s">
        <v>90</v>
      </c>
      <c r="F84" s="16"/>
      <c r="G84" s="16"/>
      <c r="H84" s="16"/>
      <c r="I84" s="541">
        <f>+K79</f>
        <v>42402</v>
      </c>
      <c r="J84" s="541"/>
      <c r="K84" s="16"/>
      <c r="L84" s="60">
        <f>+I84/$I$84</f>
        <v>1</v>
      </c>
      <c r="M84" s="434"/>
      <c r="N84" s="110"/>
      <c r="O84" s="110"/>
    </row>
    <row r="85" spans="4:15" x14ac:dyDescent="0.3">
      <c r="D85" s="409"/>
      <c r="E85" s="433"/>
      <c r="F85" s="16"/>
      <c r="G85" s="16"/>
      <c r="H85" s="16"/>
      <c r="I85" s="16"/>
      <c r="J85" s="16"/>
      <c r="K85" s="16"/>
      <c r="L85" s="16"/>
      <c r="M85" s="434"/>
      <c r="N85" s="110"/>
      <c r="O85" s="110"/>
    </row>
    <row r="86" spans="4:15" x14ac:dyDescent="0.3">
      <c r="D86" s="421"/>
      <c r="E86" s="15"/>
      <c r="F86" s="435" t="s">
        <v>115</v>
      </c>
      <c r="G86" s="435"/>
      <c r="H86" s="15"/>
      <c r="I86" s="542">
        <f>+I79</f>
        <v>31366</v>
      </c>
      <c r="J86" s="543"/>
      <c r="K86" s="15"/>
      <c r="L86" s="60">
        <f>+I86/$I$84</f>
        <v>0.73972925805386536</v>
      </c>
      <c r="M86" s="414"/>
      <c r="N86" s="110"/>
      <c r="O86" s="110"/>
    </row>
    <row r="87" spans="4:15" x14ac:dyDescent="0.3">
      <c r="D87" s="421"/>
      <c r="E87" s="15"/>
      <c r="F87" s="15" t="s">
        <v>91</v>
      </c>
      <c r="G87" s="15"/>
      <c r="H87" s="15"/>
      <c r="I87" s="544">
        <f>+I73</f>
        <v>1827</v>
      </c>
      <c r="J87" s="545"/>
      <c r="K87" s="15"/>
      <c r="L87" s="60">
        <f>+I87/$I$84</f>
        <v>4.3087590208009056E-2</v>
      </c>
      <c r="M87" s="414"/>
      <c r="N87" s="110"/>
      <c r="O87" s="110"/>
    </row>
    <row r="88" spans="4:15" ht="15" thickBot="1" x14ac:dyDescent="0.35">
      <c r="D88" s="421"/>
      <c r="E88" s="530" t="s">
        <v>116</v>
      </c>
      <c r="F88" s="530"/>
      <c r="G88" s="530"/>
      <c r="H88" s="15"/>
      <c r="I88" s="531">
        <f>+I84-I86-I87</f>
        <v>9209</v>
      </c>
      <c r="J88" s="532"/>
      <c r="K88" s="436"/>
      <c r="L88" s="437">
        <f>+I88/$I$84</f>
        <v>0.21718315173812555</v>
      </c>
      <c r="M88" s="414"/>
      <c r="N88" s="110"/>
      <c r="O88" s="110"/>
    </row>
    <row r="89" spans="4:15" ht="15" thickTop="1" x14ac:dyDescent="0.3">
      <c r="D89" s="421"/>
      <c r="E89" s="438"/>
      <c r="F89" s="438"/>
      <c r="G89" s="438"/>
      <c r="H89" s="15"/>
      <c r="I89" s="439"/>
      <c r="J89" s="438"/>
      <c r="K89" s="436"/>
      <c r="L89" s="440"/>
      <c r="M89" s="414"/>
      <c r="N89" s="110"/>
      <c r="O89" s="110"/>
    </row>
    <row r="90" spans="4:15" ht="15" thickBot="1" x14ac:dyDescent="0.35">
      <c r="D90" s="441"/>
      <c r="E90" s="442"/>
      <c r="F90" s="442"/>
      <c r="G90" s="442"/>
      <c r="H90" s="442"/>
      <c r="I90" s="442"/>
      <c r="J90" s="442"/>
      <c r="K90" s="442"/>
      <c r="L90" s="442"/>
      <c r="M90" s="429"/>
      <c r="N90" s="110"/>
      <c r="O90" s="110"/>
    </row>
    <row r="91" spans="4:15" ht="15" thickBot="1" x14ac:dyDescent="0.35"/>
    <row r="92" spans="4:15" ht="15" thickBot="1" x14ac:dyDescent="0.35">
      <c r="E92" s="533" t="s">
        <v>124</v>
      </c>
      <c r="F92" s="534"/>
      <c r="G92" s="534"/>
      <c r="H92" s="534"/>
      <c r="I92" s="534"/>
      <c r="J92" s="534"/>
      <c r="K92" s="534"/>
      <c r="L92" s="534"/>
      <c r="M92" s="535"/>
    </row>
    <row r="93" spans="4:15" x14ac:dyDescent="0.3">
      <c r="E93" s="444"/>
      <c r="F93" s="445" t="s">
        <v>125</v>
      </c>
      <c r="G93" s="445"/>
      <c r="H93" s="445"/>
      <c r="I93" s="536">
        <v>21477737</v>
      </c>
      <c r="J93" s="536"/>
      <c r="K93" s="536"/>
      <c r="L93" s="536"/>
      <c r="M93" s="446"/>
    </row>
    <row r="94" spans="4:15" x14ac:dyDescent="0.3">
      <c r="E94" s="444"/>
      <c r="F94" s="445" t="s">
        <v>112</v>
      </c>
      <c r="G94" s="445"/>
      <c r="H94" s="445"/>
      <c r="I94" s="445"/>
      <c r="J94" s="445"/>
      <c r="K94" s="445"/>
      <c r="L94" s="447">
        <f>+I88/I93</f>
        <v>4.2876956729659182E-4</v>
      </c>
      <c r="M94" s="446"/>
    </row>
    <row r="95" spans="4:15" x14ac:dyDescent="0.3">
      <c r="E95" s="444"/>
      <c r="F95" s="529" t="s">
        <v>110</v>
      </c>
      <c r="G95" s="529"/>
      <c r="H95" s="445"/>
      <c r="I95" s="445"/>
      <c r="J95" s="445"/>
      <c r="K95" s="445"/>
      <c r="L95" s="448">
        <f>+I88/(I93/100000)</f>
        <v>42.876956729659184</v>
      </c>
      <c r="M95" s="446"/>
    </row>
    <row r="96" spans="4:15" x14ac:dyDescent="0.3">
      <c r="E96" s="444"/>
      <c r="F96" s="449"/>
      <c r="G96" s="449"/>
      <c r="H96" s="445"/>
      <c r="I96" s="445"/>
      <c r="J96" s="445"/>
      <c r="K96" s="445"/>
      <c r="L96" s="448"/>
      <c r="M96" s="446"/>
    </row>
    <row r="97" spans="5:13" x14ac:dyDescent="0.3">
      <c r="E97" s="444"/>
      <c r="F97" s="449" t="s">
        <v>126</v>
      </c>
      <c r="G97" s="449"/>
      <c r="H97" s="529" t="s">
        <v>127</v>
      </c>
      <c r="I97" s="529"/>
      <c r="J97" s="445"/>
      <c r="K97" s="445"/>
      <c r="L97" s="448"/>
      <c r="M97" s="446"/>
    </row>
    <row r="98" spans="5:13" ht="15" thickBot="1" x14ac:dyDescent="0.35">
      <c r="E98" s="450"/>
      <c r="F98" s="451"/>
      <c r="G98" s="451"/>
      <c r="H98" s="451"/>
      <c r="I98" s="451"/>
      <c r="J98" s="451"/>
      <c r="K98" s="451"/>
      <c r="L98" s="451"/>
      <c r="M98" s="452"/>
    </row>
  </sheetData>
  <mergeCells count="48">
    <mergeCell ref="F65:G65"/>
    <mergeCell ref="E62:M62"/>
    <mergeCell ref="R3:AB3"/>
    <mergeCell ref="E15:I15"/>
    <mergeCell ref="D40:O40"/>
    <mergeCell ref="E41:H41"/>
    <mergeCell ref="K41:L41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3:L63"/>
    <mergeCell ref="D47:H47"/>
    <mergeCell ref="D49:H49"/>
    <mergeCell ref="K49:L49"/>
    <mergeCell ref="E50:G50"/>
    <mergeCell ref="E53:J53"/>
    <mergeCell ref="I54:J54"/>
    <mergeCell ref="I56:J56"/>
    <mergeCell ref="I57:J57"/>
    <mergeCell ref="E58:G58"/>
    <mergeCell ref="I58:J58"/>
    <mergeCell ref="D70:O70"/>
    <mergeCell ref="E71:H71"/>
    <mergeCell ref="K71:L71"/>
    <mergeCell ref="D77:H77"/>
    <mergeCell ref="D79:H79"/>
    <mergeCell ref="K79:L79"/>
    <mergeCell ref="E80:G80"/>
    <mergeCell ref="E83:J83"/>
    <mergeCell ref="I84:J84"/>
    <mergeCell ref="I86:J86"/>
    <mergeCell ref="I87:J87"/>
    <mergeCell ref="H97:I97"/>
    <mergeCell ref="E88:G88"/>
    <mergeCell ref="I88:J88"/>
    <mergeCell ref="E92:M92"/>
    <mergeCell ref="I93:L93"/>
    <mergeCell ref="F95:G9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22" workbookViewId="0">
      <selection activeCell="J61" sqref="J61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92" t="s">
        <v>5</v>
      </c>
      <c r="C1" s="492"/>
      <c r="D1" s="492"/>
    </row>
    <row r="2" spans="2:31" ht="15.6" x14ac:dyDescent="0.3">
      <c r="B2" s="492" t="s">
        <v>6</v>
      </c>
      <c r="C2" s="492"/>
      <c r="D2" s="492"/>
    </row>
    <row r="3" spans="2:31" ht="15.6" x14ac:dyDescent="0.3">
      <c r="B3" s="258" t="s">
        <v>13</v>
      </c>
      <c r="C3" s="258"/>
      <c r="D3" s="168"/>
    </row>
    <row r="4" spans="2:31" ht="15.6" x14ac:dyDescent="0.3">
      <c r="B4" s="169"/>
      <c r="C4" s="169"/>
      <c r="D4" s="168"/>
    </row>
    <row r="5" spans="2:31" ht="15.6" x14ac:dyDescent="0.3">
      <c r="B5" s="169"/>
      <c r="C5" s="169"/>
      <c r="D5" s="168" t="s">
        <v>85</v>
      </c>
      <c r="F5" s="259" t="s">
        <v>86</v>
      </c>
    </row>
    <row r="6" spans="2:31" ht="15.6" x14ac:dyDescent="0.3">
      <c r="B6" s="169"/>
      <c r="C6" s="169"/>
      <c r="D6" s="168"/>
      <c r="F6" t="s">
        <v>89</v>
      </c>
    </row>
    <row r="7" spans="2:31" ht="15.6" x14ac:dyDescent="0.3">
      <c r="B7" s="169"/>
      <c r="C7" s="169"/>
      <c r="D7" s="168"/>
      <c r="F7" s="259" t="s">
        <v>88</v>
      </c>
    </row>
    <row r="8" spans="2:31" ht="15.6" x14ac:dyDescent="0.3">
      <c r="B8" s="169"/>
      <c r="C8" s="169"/>
      <c r="D8" s="168"/>
      <c r="F8" s="259" t="s">
        <v>87</v>
      </c>
    </row>
    <row r="9" spans="2:31" ht="15.6" x14ac:dyDescent="0.3">
      <c r="B9" s="169"/>
      <c r="C9" s="169"/>
      <c r="D9" s="168"/>
      <c r="F9" s="259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1" t="s">
        <v>23</v>
      </c>
      <c r="E12" s="602"/>
      <c r="F12" s="602"/>
      <c r="G12" s="602"/>
      <c r="H12" s="602"/>
      <c r="I12" s="602"/>
      <c r="J12" s="602"/>
      <c r="K12" s="602"/>
      <c r="L12" s="602"/>
      <c r="M12" s="602"/>
      <c r="N12" s="602"/>
      <c r="O12" s="602"/>
      <c r="P12" s="602"/>
      <c r="Q12" s="602"/>
      <c r="R12" s="602"/>
      <c r="S12" s="602"/>
      <c r="T12" s="602"/>
      <c r="U12" s="603"/>
      <c r="V12" s="59"/>
    </row>
    <row r="13" spans="2:31" ht="15" thickBot="1" x14ac:dyDescent="0.35">
      <c r="D13" s="228" t="s">
        <v>19</v>
      </c>
      <c r="E13" s="76"/>
      <c r="F13" s="229" t="s">
        <v>20</v>
      </c>
      <c r="G13" s="77"/>
      <c r="H13" s="77"/>
      <c r="I13" s="77"/>
      <c r="J13" s="230" t="s">
        <v>21</v>
      </c>
      <c r="K13" s="77"/>
      <c r="L13" s="229" t="s">
        <v>18</v>
      </c>
      <c r="M13" s="78"/>
      <c r="N13" s="78"/>
      <c r="O13" s="78"/>
      <c r="P13" s="229" t="s">
        <v>20</v>
      </c>
      <c r="Q13" s="78"/>
      <c r="R13" s="78"/>
      <c r="S13" s="78"/>
      <c r="T13" s="229" t="s">
        <v>22</v>
      </c>
      <c r="U13" s="231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3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3">
        <f>+'Main Table'!J74</f>
        <v>1.4803776369431084E-2</v>
      </c>
      <c r="U14" s="231"/>
      <c r="V14" s="1"/>
      <c r="X14" s="235"/>
      <c r="Y14" s="600" t="s">
        <v>63</v>
      </c>
      <c r="Z14" s="600"/>
      <c r="AA14" s="600"/>
      <c r="AB14" s="600"/>
      <c r="AC14" s="600"/>
      <c r="AD14" s="236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86699.760634122344</v>
      </c>
      <c r="Q15" s="81"/>
      <c r="R15" s="81"/>
      <c r="S15" s="81"/>
      <c r="T15" s="82">
        <f t="shared" ref="T15:T59" si="5">+T14</f>
        <v>1.4803776369431084E-2</v>
      </c>
      <c r="U15" s="231"/>
      <c r="V15" s="1"/>
      <c r="X15" s="237"/>
      <c r="Y15" s="238" t="s">
        <v>64</v>
      </c>
      <c r="Z15" s="239"/>
      <c r="AA15" s="238" t="s">
        <v>65</v>
      </c>
      <c r="AB15" s="240"/>
      <c r="AC15" s="241" t="s">
        <v>10</v>
      </c>
      <c r="AD15" s="242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87983.244501833091</v>
      </c>
      <c r="Q16" s="81"/>
      <c r="R16" s="81"/>
      <c r="S16" s="81"/>
      <c r="T16" s="82">
        <f t="shared" si="5"/>
        <v>1.4803776369431084E-2</v>
      </c>
      <c r="U16" s="231"/>
      <c r="V16" s="1"/>
      <c r="X16" s="237"/>
      <c r="Y16" s="243" t="s">
        <v>60</v>
      </c>
      <c r="Z16" s="243"/>
      <c r="AA16" s="244">
        <v>330</v>
      </c>
      <c r="AB16" s="243"/>
      <c r="AC16" s="245">
        <f>+AA16/AA16</f>
        <v>1</v>
      </c>
      <c r="AD16" s="242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89285.7287776952</v>
      </c>
      <c r="Q17" s="81"/>
      <c r="R17" s="81"/>
      <c r="S17" s="81"/>
      <c r="T17" s="82">
        <f t="shared" si="5"/>
        <v>1.4803776369431084E-2</v>
      </c>
      <c r="U17" s="231"/>
      <c r="V17" s="1"/>
      <c r="X17" s="237"/>
      <c r="Y17" s="246" t="s">
        <v>62</v>
      </c>
      <c r="Z17" s="243"/>
      <c r="AA17" s="247">
        <v>53.42</v>
      </c>
      <c r="AB17" s="243"/>
      <c r="AC17" s="245">
        <f>+AA17/AA16</f>
        <v>0.16187878787878787</v>
      </c>
      <c r="AD17" s="242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90607.494739501883</v>
      </c>
      <c r="Q18" s="81"/>
      <c r="R18" s="81"/>
      <c r="S18" s="81"/>
      <c r="T18" s="82">
        <f t="shared" si="5"/>
        <v>1.4803776369431084E-2</v>
      </c>
      <c r="U18" s="231"/>
      <c r="V18" s="1"/>
      <c r="X18" s="237"/>
      <c r="Y18" s="248" t="s">
        <v>66</v>
      </c>
      <c r="Z18" s="248"/>
      <c r="AA18" s="244">
        <f>+AC18*AA17</f>
        <v>11.37846</v>
      </c>
      <c r="AB18" s="243"/>
      <c r="AC18" s="245">
        <v>0.21299999999999999</v>
      </c>
      <c r="AD18" s="242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91948.827829019865</v>
      </c>
      <c r="Q19" s="81"/>
      <c r="R19" s="81"/>
      <c r="S19" s="81"/>
      <c r="T19" s="82">
        <f t="shared" si="5"/>
        <v>1.4803776369431084E-2</v>
      </c>
      <c r="U19" s="231"/>
      <c r="V19" s="1"/>
      <c r="X19" s="249"/>
      <c r="Y19" s="250" t="s">
        <v>67</v>
      </c>
      <c r="Z19" s="250"/>
      <c r="AA19" s="251"/>
      <c r="AB19" s="252"/>
      <c r="AC19" s="251">
        <f>+AA18/AA16</f>
        <v>3.448018181818182E-2</v>
      </c>
      <c r="AD19" s="253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93310.017713631998</v>
      </c>
      <c r="Q20" s="81"/>
      <c r="R20" s="81"/>
      <c r="S20" s="81"/>
      <c r="T20" s="82">
        <f t="shared" si="5"/>
        <v>1.4803776369431084E-2</v>
      </c>
      <c r="U20" s="231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94691.35834889226</v>
      </c>
      <c r="Q21" s="81"/>
      <c r="R21" s="81"/>
      <c r="S21" s="81"/>
      <c r="T21" s="82">
        <f t="shared" si="5"/>
        <v>1.4803776369431084E-2</v>
      </c>
      <c r="U21" s="231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96093.148042006927</v>
      </c>
      <c r="Q22" s="81"/>
      <c r="R22" s="81"/>
      <c r="S22" s="81"/>
      <c r="T22" s="82">
        <f t="shared" si="5"/>
        <v>1.4803776369431084E-2</v>
      </c>
      <c r="U22" s="231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97515.689516255428</v>
      </c>
      <c r="Q23" s="81"/>
      <c r="R23" s="81"/>
      <c r="S23" s="81"/>
      <c r="T23" s="82">
        <f t="shared" si="5"/>
        <v>1.4803776369431084E-2</v>
      </c>
      <c r="U23" s="231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98959.289976364948</v>
      </c>
      <c r="Q24" s="81"/>
      <c r="R24" s="81"/>
      <c r="S24" s="81"/>
      <c r="T24" s="82">
        <f t="shared" si="5"/>
        <v>1.4803776369431084E-2</v>
      </c>
      <c r="U24" s="231"/>
      <c r="V24" s="1"/>
      <c r="X24" s="110"/>
      <c r="Y24" s="114"/>
      <c r="Z24" s="257"/>
      <c r="AA24" s="257"/>
      <c r="AB24" s="257"/>
      <c r="AC24" s="257"/>
      <c r="AD24" s="257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100424.26117485274</v>
      </c>
      <c r="Q25" s="81"/>
      <c r="R25" s="81"/>
      <c r="S25" s="81"/>
      <c r="T25" s="82">
        <f t="shared" si="5"/>
        <v>1.4803776369431084E-2</v>
      </c>
      <c r="U25" s="231"/>
      <c r="V25" s="1"/>
      <c r="X25" s="110"/>
      <c r="Y25" s="256"/>
      <c r="Z25" s="256"/>
      <c r="AA25" s="256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101910.9194793506</v>
      </c>
      <c r="Q26" s="81"/>
      <c r="R26" s="81"/>
      <c r="S26" s="81"/>
      <c r="T26" s="82">
        <f t="shared" si="5"/>
        <v>1.4803776369431084E-2</v>
      </c>
      <c r="U26" s="231"/>
      <c r="V26" s="1"/>
      <c r="X26" s="110"/>
      <c r="Y26" s="114"/>
      <c r="Z26" s="114"/>
      <c r="AA26" s="114"/>
      <c r="AB26" s="110"/>
      <c r="AC26" s="254"/>
      <c r="AD26" s="110"/>
      <c r="AE26" s="255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103419.585940926</v>
      </c>
      <c r="Q27" s="81"/>
      <c r="R27" s="81"/>
      <c r="S27" s="81"/>
      <c r="T27" s="82">
        <f t="shared" si="5"/>
        <v>1.4803776369431084E-2</v>
      </c>
      <c r="U27" s="231"/>
      <c r="V27" s="1"/>
      <c r="X27" s="110"/>
      <c r="Y27" s="114"/>
      <c r="Z27" s="114"/>
      <c r="AA27" s="114"/>
      <c r="AB27" s="110"/>
      <c r="AC27" s="254"/>
      <c r="AD27" s="110"/>
      <c r="AE27" s="255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104950.58636341462</v>
      </c>
      <c r="Q28" s="81"/>
      <c r="R28" s="81"/>
      <c r="S28" s="81"/>
      <c r="T28" s="82">
        <f t="shared" si="5"/>
        <v>1.4803776369431084E-2</v>
      </c>
      <c r="U28" s="231"/>
      <c r="V28" s="1"/>
      <c r="X28" s="110"/>
      <c r="Y28" s="257"/>
      <c r="Z28" s="257"/>
      <c r="AA28" s="257"/>
      <c r="AB28" s="110"/>
      <c r="AC28" s="254"/>
      <c r="AD28" s="110"/>
      <c r="AE28" s="255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106504.25137377928</v>
      </c>
      <c r="Q29" s="81"/>
      <c r="R29" s="81"/>
      <c r="S29" s="81"/>
      <c r="T29" s="82">
        <f t="shared" si="5"/>
        <v>1.4803776369431084E-2</v>
      </c>
      <c r="U29" s="231"/>
      <c r="V29" s="88"/>
      <c r="X29" s="110"/>
      <c r="Y29" s="257"/>
      <c r="Z29" s="257"/>
      <c r="AA29" s="257"/>
      <c r="AB29" s="110"/>
      <c r="AC29" s="255"/>
      <c r="AD29" s="110"/>
      <c r="AE29" s="255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108080.91649351038</v>
      </c>
      <c r="Q30" s="81"/>
      <c r="R30" s="81"/>
      <c r="S30" s="81"/>
      <c r="T30" s="82">
        <f t="shared" si="5"/>
        <v>1.4803776369431084E-2</v>
      </c>
      <c r="U30" s="231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109680.92221108347</v>
      </c>
      <c r="Q31" s="81"/>
      <c r="R31" s="81"/>
      <c r="S31" s="81"/>
      <c r="T31" s="82">
        <f t="shared" si="5"/>
        <v>1.4803776369431084E-2</v>
      </c>
      <c r="U31" s="231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111304.61405548932</v>
      </c>
      <c r="Q32" s="81"/>
      <c r="R32" s="81"/>
      <c r="S32" s="81"/>
      <c r="T32" s="82">
        <f t="shared" si="5"/>
        <v>1.4803776369431084E-2</v>
      </c>
      <c r="U32" s="231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112952.34267085262</v>
      </c>
      <c r="Q33" s="81"/>
      <c r="R33" s="81"/>
      <c r="S33" s="81"/>
      <c r="T33" s="82">
        <f t="shared" si="5"/>
        <v>1.4803776369431084E-2</v>
      </c>
      <c r="U33" s="231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114624.46389215527</v>
      </c>
      <c r="Q34" s="81"/>
      <c r="R34" s="81"/>
      <c r="S34" s="81"/>
      <c r="T34" s="82">
        <f t="shared" si="5"/>
        <v>1.4803776369431084E-2</v>
      </c>
      <c r="U34" s="231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116321.33882208067</v>
      </c>
      <c r="Q35" s="81"/>
      <c r="R35" s="81"/>
      <c r="S35" s="81"/>
      <c r="T35" s="82">
        <f t="shared" si="5"/>
        <v>1.4803776369431084E-2</v>
      </c>
      <c r="U35" s="231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118043.33390899557</v>
      </c>
      <c r="Q36" s="81"/>
      <c r="R36" s="81"/>
      <c r="S36" s="81"/>
      <c r="T36" s="82">
        <f t="shared" si="5"/>
        <v>1.4803776369431084E-2</v>
      </c>
      <c r="U36" s="231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119790.82102608643</v>
      </c>
      <c r="Q37" s="81"/>
      <c r="R37" s="81"/>
      <c r="S37" s="81"/>
      <c r="T37" s="82">
        <f t="shared" si="5"/>
        <v>1.4803776369431084E-2</v>
      </c>
      <c r="U37" s="231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121564.17755166716</v>
      </c>
      <c r="Q38" s="81"/>
      <c r="R38" s="81"/>
      <c r="S38" s="81"/>
      <c r="T38" s="82">
        <f t="shared" si="5"/>
        <v>1.4803776369431084E-2</v>
      </c>
      <c r="U38" s="231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123363.78645067586</v>
      </c>
      <c r="Q39" s="81"/>
      <c r="R39" s="81"/>
      <c r="S39" s="81"/>
      <c r="T39" s="82">
        <f t="shared" si="5"/>
        <v>1.4803776369431084E-2</v>
      </c>
      <c r="U39" s="231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125190.03635737792</v>
      </c>
      <c r="Q40" s="81"/>
      <c r="R40" s="81"/>
      <c r="S40" s="81"/>
      <c r="T40" s="82">
        <f t="shared" si="5"/>
        <v>1.4803776369431084E-2</v>
      </c>
      <c r="U40" s="231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127043.32165929349</v>
      </c>
      <c r="Q41" s="81"/>
      <c r="R41" s="81"/>
      <c r="S41" s="81"/>
      <c r="T41" s="82">
        <f t="shared" si="5"/>
        <v>1.4803776369431084E-2</v>
      </c>
      <c r="U41" s="231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128924.04258236737</v>
      </c>
      <c r="Q42" s="81"/>
      <c r="R42" s="81"/>
      <c r="S42" s="81"/>
      <c r="T42" s="82">
        <f t="shared" si="5"/>
        <v>1.4803776369431084E-2</v>
      </c>
      <c r="U42" s="231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130832.60527739975</v>
      </c>
      <c r="Q43" s="81"/>
      <c r="R43" s="81"/>
      <c r="S43" s="81"/>
      <c r="T43" s="82">
        <f t="shared" si="5"/>
        <v>1.4803776369431084E-2</v>
      </c>
      <c r="U43" s="231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132769.42190775642</v>
      </c>
      <c r="Q44" s="81"/>
      <c r="R44" s="81"/>
      <c r="S44" s="81"/>
      <c r="T44" s="82">
        <f t="shared" si="5"/>
        <v>1.4803776369431084E-2</v>
      </c>
      <c r="U44" s="231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134734.91073837748</v>
      </c>
      <c r="Q45" s="81"/>
      <c r="R45" s="81"/>
      <c r="S45" s="81"/>
      <c r="T45" s="82">
        <f t="shared" si="5"/>
        <v>1.4803776369431084E-2</v>
      </c>
      <c r="U45" s="231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136729.49622610369</v>
      </c>
      <c r="Q46" s="81"/>
      <c r="R46" s="81"/>
      <c r="S46" s="81"/>
      <c r="T46" s="82">
        <f t="shared" si="5"/>
        <v>1.4803776369431084E-2</v>
      </c>
      <c r="U46" s="231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138753.6091113399</v>
      </c>
      <c r="Q47" s="81"/>
      <c r="R47" s="81"/>
      <c r="S47" s="81"/>
      <c r="T47" s="82">
        <f t="shared" si="5"/>
        <v>1.4803776369431084E-2</v>
      </c>
      <c r="U47" s="231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140807.68651107562</v>
      </c>
      <c r="Q48" s="81"/>
      <c r="R48" s="81"/>
      <c r="S48" s="81"/>
      <c r="T48" s="82">
        <f t="shared" si="5"/>
        <v>1.4803776369431084E-2</v>
      </c>
      <c r="U48" s="231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142892.17201328254</v>
      </c>
      <c r="Q49" s="81"/>
      <c r="R49" s="81"/>
      <c r="S49" s="81"/>
      <c r="T49" s="82">
        <f t="shared" si="5"/>
        <v>1.4803776369431084E-2</v>
      </c>
      <c r="U49" s="231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145007.51577270945</v>
      </c>
      <c r="Q50" s="81"/>
      <c r="R50" s="81"/>
      <c r="S50" s="81"/>
      <c r="T50" s="82">
        <f t="shared" si="5"/>
        <v>1.4803776369431084E-2</v>
      </c>
      <c r="U50" s="231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147154.1746080954</v>
      </c>
      <c r="Q51" s="81"/>
      <c r="R51" s="81"/>
      <c r="S51" s="81"/>
      <c r="T51" s="82">
        <f t="shared" si="5"/>
        <v>1.4803776369431084E-2</v>
      </c>
      <c r="U51" s="231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149332.61210082186</v>
      </c>
      <c r="Q52" s="81"/>
      <c r="R52" s="81"/>
      <c r="S52" s="81"/>
      <c r="T52" s="82">
        <f t="shared" si="5"/>
        <v>1.4803776369431084E-2</v>
      </c>
      <c r="U52" s="231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151543.29869502541</v>
      </c>
      <c r="Q53" s="81"/>
      <c r="R53" s="81"/>
      <c r="S53" s="81"/>
      <c r="T53" s="82">
        <f t="shared" si="5"/>
        <v>1.4803776369431084E-2</v>
      </c>
      <c r="U53" s="231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153786.71179919248</v>
      </c>
      <c r="Q54" s="81"/>
      <c r="R54" s="81"/>
      <c r="S54" s="81"/>
      <c r="T54" s="82">
        <f t="shared" si="5"/>
        <v>1.4803776369431084E-2</v>
      </c>
      <c r="U54" s="231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156063.33588925787</v>
      </c>
      <c r="Q55" s="81"/>
      <c r="R55" s="81"/>
      <c r="S55" s="81"/>
      <c r="T55" s="82">
        <f t="shared" si="5"/>
        <v>1.4803776369431084E-2</v>
      </c>
      <c r="U55" s="231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158373.66261322986</v>
      </c>
      <c r="Q56" s="81"/>
      <c r="R56" s="81"/>
      <c r="S56" s="81"/>
      <c r="T56" s="82">
        <f t="shared" si="5"/>
        <v>1.4803776369431084E-2</v>
      </c>
      <c r="U56" s="231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160718.19089736385</v>
      </c>
      <c r="Q57" s="81"/>
      <c r="R57" s="81"/>
      <c r="S57" s="81"/>
      <c r="T57" s="82">
        <f t="shared" si="5"/>
        <v>1.4803776369431084E-2</v>
      </c>
      <c r="U57" s="231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163097.42705390794</v>
      </c>
      <c r="Q58" s="81"/>
      <c r="R58" s="81"/>
      <c r="S58" s="81"/>
      <c r="T58" s="82">
        <f t="shared" si="5"/>
        <v>1.4803776369431084E-2</v>
      </c>
      <c r="U58" s="231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165511.88489044359</v>
      </c>
      <c r="Q59" s="81"/>
      <c r="R59" s="81"/>
      <c r="S59" s="81"/>
      <c r="T59" s="82">
        <f t="shared" si="5"/>
        <v>1.4803776369431084E-2</v>
      </c>
      <c r="U59" s="231"/>
      <c r="V59" s="10"/>
    </row>
    <row r="60" spans="4:22" ht="15" thickBot="1" x14ac:dyDescent="0.35">
      <c r="D60" s="281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2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9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mkeresman</cp:lastModifiedBy>
  <cp:lastPrinted>2020-03-30T14:27:53Z</cp:lastPrinted>
  <dcterms:created xsi:type="dcterms:W3CDTF">2020-03-28T00:34:23Z</dcterms:created>
  <dcterms:modified xsi:type="dcterms:W3CDTF">2020-05-19T01:15:20Z</dcterms:modified>
</cp:coreProperties>
</file>